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6360" windowHeight="9735" activeTab="3"/>
  </bookViews>
  <sheets>
    <sheet name="汇总表" sheetId="4" r:id="rId1"/>
    <sheet name="2014-2017学年各项收入明细" sheetId="10" r:id="rId2"/>
    <sheet name="课外课收入明细 (2)" sheetId="5" r:id="rId3"/>
    <sheet name="保险收入明细" sheetId="8" r:id="rId4"/>
    <sheet name="2012-2014学年各项收入明细" sheetId="11" r:id="rId5"/>
  </sheets>
  <calcPr calcId="124519"/>
</workbook>
</file>

<file path=xl/calcChain.xml><?xml version="1.0" encoding="utf-8"?>
<calcChain xmlns="http://schemas.openxmlformats.org/spreadsheetml/2006/main">
  <c r="F209" i="8"/>
  <c r="D208" i="10"/>
  <c r="F190" i="5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E190"/>
  <c r="X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E189"/>
  <c r="P206" i="10"/>
  <c r="AR12" i="4"/>
  <c r="F13"/>
  <c r="AR13" s="1"/>
  <c r="F12"/>
  <c r="F11"/>
  <c r="AR11" s="1"/>
  <c r="F10"/>
  <c r="F14" l="1"/>
  <c r="AR10"/>
  <c r="AR14"/>
  <c r="R195" i="10"/>
  <c r="R196"/>
  <c r="R197"/>
  <c r="R198"/>
  <c r="R199"/>
  <c r="R200"/>
  <c r="R201"/>
  <c r="R202"/>
  <c r="R203"/>
  <c r="R204"/>
  <c r="R205"/>
  <c r="Q195"/>
  <c r="S195" s="1"/>
  <c r="Q196"/>
  <c r="S196" s="1"/>
  <c r="Q197"/>
  <c r="S197" s="1"/>
  <c r="Q198"/>
  <c r="S198" s="1"/>
  <c r="Q199"/>
  <c r="S199" s="1"/>
  <c r="Q200"/>
  <c r="S200" s="1"/>
  <c r="Q201"/>
  <c r="S201" s="1"/>
  <c r="Q202"/>
  <c r="S202" s="1"/>
  <c r="Q203"/>
  <c r="S203" s="1"/>
  <c r="Q204"/>
  <c r="S204" s="1"/>
  <c r="Q205"/>
  <c r="S205" s="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S22" s="1"/>
  <c r="Q23"/>
  <c r="S23" s="1"/>
  <c r="Q24"/>
  <c r="S24" s="1"/>
  <c r="Q25"/>
  <c r="S25" s="1"/>
  <c r="Q26"/>
  <c r="S26" s="1"/>
  <c r="Q27"/>
  <c r="S27" s="1"/>
  <c r="Q28"/>
  <c r="S28" s="1"/>
  <c r="Q29"/>
  <c r="S29" s="1"/>
  <c r="Q30"/>
  <c r="S30" s="1"/>
  <c r="Q31"/>
  <c r="S31" s="1"/>
  <c r="Q32"/>
  <c r="S32" s="1"/>
  <c r="Q33"/>
  <c r="S33" s="1"/>
  <c r="Q34"/>
  <c r="S34" s="1"/>
  <c r="Q35"/>
  <c r="S35" s="1"/>
  <c r="Q36"/>
  <c r="S36" s="1"/>
  <c r="Q37"/>
  <c r="S37" s="1"/>
  <c r="Q38"/>
  <c r="S38" s="1"/>
  <c r="Q39"/>
  <c r="S39" s="1"/>
  <c r="Q40"/>
  <c r="S40" s="1"/>
  <c r="Q41"/>
  <c r="S41" s="1"/>
  <c r="Q42"/>
  <c r="S42" s="1"/>
  <c r="Q43"/>
  <c r="S43" s="1"/>
  <c r="Q44"/>
  <c r="S44" s="1"/>
  <c r="Q45"/>
  <c r="S45" s="1"/>
  <c r="Q46"/>
  <c r="S46" s="1"/>
  <c r="Q47"/>
  <c r="S47" s="1"/>
  <c r="Q48"/>
  <c r="S48" s="1"/>
  <c r="Q49"/>
  <c r="S49" s="1"/>
  <c r="Q50"/>
  <c r="S50" s="1"/>
  <c r="Q51"/>
  <c r="S51" s="1"/>
  <c r="Q52"/>
  <c r="S52" s="1"/>
  <c r="Q53"/>
  <c r="S53" s="1"/>
  <c r="Q54"/>
  <c r="S54" s="1"/>
  <c r="Q55"/>
  <c r="S55" s="1"/>
  <c r="Q56"/>
  <c r="S56" s="1"/>
  <c r="Q57"/>
  <c r="S57" s="1"/>
  <c r="Q58"/>
  <c r="S58" s="1"/>
  <c r="Q59"/>
  <c r="S59" s="1"/>
  <c r="Q60"/>
  <c r="S60" s="1"/>
  <c r="Q61"/>
  <c r="S61" s="1"/>
  <c r="Q62"/>
  <c r="S62" s="1"/>
  <c r="Q63"/>
  <c r="S63" s="1"/>
  <c r="Q64"/>
  <c r="S64" s="1"/>
  <c r="Q65"/>
  <c r="S65" s="1"/>
  <c r="Q66"/>
  <c r="S66" s="1"/>
  <c r="Q67"/>
  <c r="S67" s="1"/>
  <c r="Q68"/>
  <c r="S68" s="1"/>
  <c r="Q69"/>
  <c r="S69" s="1"/>
  <c r="Q70"/>
  <c r="S70" s="1"/>
  <c r="Q71"/>
  <c r="S71" s="1"/>
  <c r="Q72"/>
  <c r="S72" s="1"/>
  <c r="Q73"/>
  <c r="S73" s="1"/>
  <c r="Q74"/>
  <c r="S74" s="1"/>
  <c r="Q75"/>
  <c r="S75" s="1"/>
  <c r="Q76"/>
  <c r="S76" s="1"/>
  <c r="Q77"/>
  <c r="S77" s="1"/>
  <c r="Q78"/>
  <c r="S78" s="1"/>
  <c r="Q79"/>
  <c r="S79" s="1"/>
  <c r="Q80"/>
  <c r="S80" s="1"/>
  <c r="Q81"/>
  <c r="S81" s="1"/>
  <c r="Q82"/>
  <c r="S82" s="1"/>
  <c r="Q83"/>
  <c r="S83" s="1"/>
  <c r="Q84"/>
  <c r="S84" s="1"/>
  <c r="Q85"/>
  <c r="S85" s="1"/>
  <c r="Q86"/>
  <c r="S86" s="1"/>
  <c r="Q87"/>
  <c r="S87" s="1"/>
  <c r="Q88"/>
  <c r="S88" s="1"/>
  <c r="Q89"/>
  <c r="S89" s="1"/>
  <c r="Q90"/>
  <c r="S90" s="1"/>
  <c r="Q91"/>
  <c r="S91" s="1"/>
  <c r="Q92"/>
  <c r="S92" s="1"/>
  <c r="Q93"/>
  <c r="S93" s="1"/>
  <c r="Q94"/>
  <c r="S94" s="1"/>
  <c r="Q95"/>
  <c r="S95" s="1"/>
  <c r="Q96"/>
  <c r="S96" s="1"/>
  <c r="Q97"/>
  <c r="S97" s="1"/>
  <c r="Q98"/>
  <c r="S98" s="1"/>
  <c r="Q99"/>
  <c r="S99" s="1"/>
  <c r="Q100"/>
  <c r="S100" s="1"/>
  <c r="Q101"/>
  <c r="S101" s="1"/>
  <c r="Q102"/>
  <c r="S102" s="1"/>
  <c r="Q103"/>
  <c r="S103" s="1"/>
  <c r="Q104"/>
  <c r="S104" s="1"/>
  <c r="Q105"/>
  <c r="S105" s="1"/>
  <c r="Q106"/>
  <c r="S106" s="1"/>
  <c r="Q107"/>
  <c r="S107" s="1"/>
  <c r="Q108"/>
  <c r="S108" s="1"/>
  <c r="Q109"/>
  <c r="S109" s="1"/>
  <c r="Q110"/>
  <c r="S110" s="1"/>
  <c r="Q111"/>
  <c r="S111" s="1"/>
  <c r="Q112"/>
  <c r="S112" s="1"/>
  <c r="Q113"/>
  <c r="S113" s="1"/>
  <c r="Q114"/>
  <c r="S114" s="1"/>
  <c r="Q115"/>
  <c r="S115" s="1"/>
  <c r="Q116"/>
  <c r="S116" s="1"/>
  <c r="Q117"/>
  <c r="S117" s="1"/>
  <c r="Q118"/>
  <c r="S118" s="1"/>
  <c r="Q119"/>
  <c r="S119" s="1"/>
  <c r="Q120"/>
  <c r="S120" s="1"/>
  <c r="Q121"/>
  <c r="S121" s="1"/>
  <c r="Q122"/>
  <c r="S122" s="1"/>
  <c r="Q123"/>
  <c r="S123" s="1"/>
  <c r="Q124"/>
  <c r="S124" s="1"/>
  <c r="Q125"/>
  <c r="S125" s="1"/>
  <c r="Q126"/>
  <c r="S126" s="1"/>
  <c r="Q127"/>
  <c r="S127" s="1"/>
  <c r="Q128"/>
  <c r="S128" s="1"/>
  <c r="Q129"/>
  <c r="S129" s="1"/>
  <c r="Q130"/>
  <c r="S130" s="1"/>
  <c r="Q131"/>
  <c r="S131" s="1"/>
  <c r="Q132"/>
  <c r="S132" s="1"/>
  <c r="Q133"/>
  <c r="S133" s="1"/>
  <c r="Q134"/>
  <c r="S134" s="1"/>
  <c r="Q135"/>
  <c r="S135" s="1"/>
  <c r="Q136"/>
  <c r="S136" s="1"/>
  <c r="Q137"/>
  <c r="S137" s="1"/>
  <c r="Q138"/>
  <c r="S138" s="1"/>
  <c r="Q139"/>
  <c r="S139" s="1"/>
  <c r="Q140"/>
  <c r="S140" s="1"/>
  <c r="Q141"/>
  <c r="S141" s="1"/>
  <c r="Q142"/>
  <c r="S142" s="1"/>
  <c r="Q143"/>
  <c r="S143" s="1"/>
  <c r="Q144"/>
  <c r="S144" s="1"/>
  <c r="Q145"/>
  <c r="S145" s="1"/>
  <c r="Q146"/>
  <c r="S146" s="1"/>
  <c r="Q147"/>
  <c r="S147" s="1"/>
  <c r="Q148"/>
  <c r="S148" s="1"/>
  <c r="Q149"/>
  <c r="S149" s="1"/>
  <c r="Q150"/>
  <c r="S150" s="1"/>
  <c r="Q151"/>
  <c r="S151" s="1"/>
  <c r="Q152"/>
  <c r="S152" s="1"/>
  <c r="Q153"/>
  <c r="S153" s="1"/>
  <c r="Q154"/>
  <c r="S154" s="1"/>
  <c r="Q155"/>
  <c r="S155" s="1"/>
  <c r="Q156"/>
  <c r="S156" s="1"/>
  <c r="Q157"/>
  <c r="S157" s="1"/>
  <c r="Q158"/>
  <c r="S158" s="1"/>
  <c r="Q159"/>
  <c r="S159" s="1"/>
  <c r="Q160"/>
  <c r="S160" s="1"/>
  <c r="Q161"/>
  <c r="S161" s="1"/>
  <c r="Q162"/>
  <c r="S162" s="1"/>
  <c r="Q163"/>
  <c r="S163" s="1"/>
  <c r="C314" i="11"/>
  <c r="C313"/>
  <c r="C312"/>
  <c r="DR311"/>
  <c r="DK311"/>
  <c r="DJ311"/>
  <c r="DI311"/>
  <c r="DH311"/>
  <c r="DG311"/>
  <c r="DF311"/>
  <c r="DE311"/>
  <c r="DD311"/>
  <c r="DC311"/>
  <c r="DB311"/>
  <c r="DA311"/>
  <c r="CZ311"/>
  <c r="CY311"/>
  <c r="CX311"/>
  <c r="BQ311"/>
  <c r="BM311"/>
  <c r="BL311"/>
  <c r="X311"/>
  <c r="S311"/>
  <c r="Q311"/>
  <c r="O311"/>
  <c r="M310"/>
  <c r="L310"/>
  <c r="N310" s="1"/>
  <c r="M309"/>
  <c r="L309"/>
  <c r="N309" s="1"/>
  <c r="M308"/>
  <c r="L308"/>
  <c r="N308" s="1"/>
  <c r="EF304"/>
  <c r="EE304"/>
  <c r="CW304"/>
  <c r="CV304"/>
  <c r="CU304"/>
  <c r="CT304"/>
  <c r="CO304"/>
  <c r="AY304"/>
  <c r="AX304"/>
  <c r="AW304"/>
  <c r="AS304"/>
  <c r="AR304"/>
  <c r="AM304"/>
  <c r="M304" s="1"/>
  <c r="AL304"/>
  <c r="K304"/>
  <c r="I304"/>
  <c r="G304"/>
  <c r="D304"/>
  <c r="L304" s="1"/>
  <c r="BE303"/>
  <c r="BD303"/>
  <c r="BC303"/>
  <c r="BB303"/>
  <c r="BA303"/>
  <c r="AZ303"/>
  <c r="AY303"/>
  <c r="AX303"/>
  <c r="AW303"/>
  <c r="AV303"/>
  <c r="AU303"/>
  <c r="AT303"/>
  <c r="M303"/>
  <c r="G303"/>
  <c r="L303" s="1"/>
  <c r="N303" s="1"/>
  <c r="BE302"/>
  <c r="BD302"/>
  <c r="BC302"/>
  <c r="BB302"/>
  <c r="BA302"/>
  <c r="AZ302"/>
  <c r="M302"/>
  <c r="G302"/>
  <c r="L302" s="1"/>
  <c r="N302" s="1"/>
  <c r="CR301"/>
  <c r="CQ301"/>
  <c r="CP301"/>
  <c r="CN301"/>
  <c r="CM301"/>
  <c r="CL301"/>
  <c r="AS301"/>
  <c r="AR301"/>
  <c r="AQ301"/>
  <c r="AP301"/>
  <c r="AO301"/>
  <c r="AN301"/>
  <c r="M301"/>
  <c r="I301"/>
  <c r="G301"/>
  <c r="D301"/>
  <c r="L301" s="1"/>
  <c r="N301" s="1"/>
  <c r="CP300"/>
  <c r="CO300"/>
  <c r="CN300"/>
  <c r="CM300"/>
  <c r="CL300"/>
  <c r="AQ300"/>
  <c r="M300"/>
  <c r="K300"/>
  <c r="I300"/>
  <c r="G300"/>
  <c r="D300"/>
  <c r="L300" s="1"/>
  <c r="N300" s="1"/>
  <c r="CP299"/>
  <c r="M299" s="1"/>
  <c r="CO299"/>
  <c r="K299"/>
  <c r="I299"/>
  <c r="G299"/>
  <c r="D299"/>
  <c r="L299" s="1"/>
  <c r="N299" s="1"/>
  <c r="CQ298"/>
  <c r="CP298"/>
  <c r="CO298"/>
  <c r="AS298"/>
  <c r="AR298"/>
  <c r="AO298"/>
  <c r="M298" s="1"/>
  <c r="AN298"/>
  <c r="K298"/>
  <c r="I298"/>
  <c r="G298"/>
  <c r="D298"/>
  <c r="L298" s="1"/>
  <c r="CQ297"/>
  <c r="CP297"/>
  <c r="CO297"/>
  <c r="CL297"/>
  <c r="AS297"/>
  <c r="AR297"/>
  <c r="AQ297"/>
  <c r="AP297"/>
  <c r="AO297"/>
  <c r="AN297"/>
  <c r="M297"/>
  <c r="I297"/>
  <c r="G297"/>
  <c r="D297"/>
  <c r="L297" s="1"/>
  <c r="N297" s="1"/>
  <c r="CP296"/>
  <c r="CO296"/>
  <c r="CJ296"/>
  <c r="AS296"/>
  <c r="AR296"/>
  <c r="AQ296"/>
  <c r="AP296"/>
  <c r="AO296"/>
  <c r="AN296"/>
  <c r="AM296"/>
  <c r="M296" s="1"/>
  <c r="AL296"/>
  <c r="K296"/>
  <c r="I296"/>
  <c r="G296"/>
  <c r="D296"/>
  <c r="L296" s="1"/>
  <c r="N296" s="1"/>
  <c r="CQ295"/>
  <c r="CP295"/>
  <c r="CL295"/>
  <c r="CK295"/>
  <c r="CI295"/>
  <c r="AS295"/>
  <c r="AR295"/>
  <c r="AQ295"/>
  <c r="AP295"/>
  <c r="AO295"/>
  <c r="AN295"/>
  <c r="AM295"/>
  <c r="AL295"/>
  <c r="AK295"/>
  <c r="M295" s="1"/>
  <c r="AJ295"/>
  <c r="K295"/>
  <c r="I295"/>
  <c r="G295"/>
  <c r="D295"/>
  <c r="L295" s="1"/>
  <c r="CK294"/>
  <c r="CH294"/>
  <c r="AS294"/>
  <c r="AR294"/>
  <c r="AQ294"/>
  <c r="AP294"/>
  <c r="AO294"/>
  <c r="AN294"/>
  <c r="M294" s="1"/>
  <c r="AJ294"/>
  <c r="I294"/>
  <c r="G294"/>
  <c r="L294" s="1"/>
  <c r="N294" s="1"/>
  <c r="D294"/>
  <c r="CD293"/>
  <c r="CC293"/>
  <c r="BZ293"/>
  <c r="AS293"/>
  <c r="AR293"/>
  <c r="AQ293"/>
  <c r="AP293"/>
  <c r="AO293"/>
  <c r="AN293"/>
  <c r="AM293"/>
  <c r="AL293"/>
  <c r="AK293"/>
  <c r="AJ293"/>
  <c r="M293" s="1"/>
  <c r="AI293"/>
  <c r="K293"/>
  <c r="I293"/>
  <c r="G293"/>
  <c r="D293"/>
  <c r="L293" s="1"/>
  <c r="AP292"/>
  <c r="AO292"/>
  <c r="M292" s="1"/>
  <c r="AN292"/>
  <c r="I292"/>
  <c r="G292"/>
  <c r="L292" s="1"/>
  <c r="N292" s="1"/>
  <c r="D292"/>
  <c r="CF291"/>
  <c r="M291" s="1"/>
  <c r="AP291"/>
  <c r="I291"/>
  <c r="G291"/>
  <c r="L291" s="1"/>
  <c r="D291"/>
  <c r="CQ290"/>
  <c r="CP290"/>
  <c r="CO290"/>
  <c r="CN290"/>
  <c r="CM290"/>
  <c r="CK290"/>
  <c r="CI290"/>
  <c r="CE290"/>
  <c r="CD290"/>
  <c r="CC290"/>
  <c r="CA290"/>
  <c r="BY290"/>
  <c r="AY290"/>
  <c r="AX290"/>
  <c r="AW290"/>
  <c r="AV290"/>
  <c r="AU290"/>
  <c r="AT290"/>
  <c r="AS290"/>
  <c r="AR290"/>
  <c r="AQ290"/>
  <c r="AP290"/>
  <c r="AO290"/>
  <c r="AM290"/>
  <c r="AK290"/>
  <c r="AG290"/>
  <c r="AC290"/>
  <c r="M290" s="1"/>
  <c r="AA290"/>
  <c r="I290"/>
  <c r="G290"/>
  <c r="L290" s="1"/>
  <c r="N290" s="1"/>
  <c r="D290"/>
  <c r="EC289"/>
  <c r="EB289"/>
  <c r="EA289"/>
  <c r="DZ289"/>
  <c r="DY289"/>
  <c r="CL289"/>
  <c r="AS289"/>
  <c r="AR289"/>
  <c r="AQ289"/>
  <c r="AP289"/>
  <c r="AO289"/>
  <c r="M289" s="1"/>
  <c r="AN289"/>
  <c r="K289"/>
  <c r="I289"/>
  <c r="G289"/>
  <c r="D289"/>
  <c r="L289" s="1"/>
  <c r="EC288"/>
  <c r="EB288"/>
  <c r="EA288"/>
  <c r="DZ288"/>
  <c r="DY288"/>
  <c r="DX288"/>
  <c r="DQ288"/>
  <c r="CQ288"/>
  <c r="CP288"/>
  <c r="CO288"/>
  <c r="CN288"/>
  <c r="CM288"/>
  <c r="CL288"/>
  <c r="CI288"/>
  <c r="CG288"/>
  <c r="CE288"/>
  <c r="CC288"/>
  <c r="AS288"/>
  <c r="AR288"/>
  <c r="AQ288"/>
  <c r="AP288"/>
  <c r="AO288"/>
  <c r="AN288"/>
  <c r="AG288"/>
  <c r="M288" s="1"/>
  <c r="Z288"/>
  <c r="K288"/>
  <c r="I288"/>
  <c r="G288"/>
  <c r="D288"/>
  <c r="L288" s="1"/>
  <c r="N288" s="1"/>
  <c r="CQ287"/>
  <c r="CP287"/>
  <c r="CO287"/>
  <c r="CN287"/>
  <c r="CM287"/>
  <c r="CL287"/>
  <c r="CI287"/>
  <c r="CE287"/>
  <c r="CD287"/>
  <c r="CC287"/>
  <c r="AS287"/>
  <c r="AR287"/>
  <c r="AQ287"/>
  <c r="AP287"/>
  <c r="AO287"/>
  <c r="AN287"/>
  <c r="AK287"/>
  <c r="AG287"/>
  <c r="AE287"/>
  <c r="Y287"/>
  <c r="M287"/>
  <c r="I287"/>
  <c r="G287"/>
  <c r="D287"/>
  <c r="L287" s="1"/>
  <c r="N287" s="1"/>
  <c r="CC286"/>
  <c r="BW286"/>
  <c r="M286" s="1"/>
  <c r="Y286"/>
  <c r="K286"/>
  <c r="I286"/>
  <c r="G286"/>
  <c r="D286"/>
  <c r="L286" s="1"/>
  <c r="CB285"/>
  <c r="BY285"/>
  <c r="M285"/>
  <c r="I285"/>
  <c r="G285"/>
  <c r="D285"/>
  <c r="L285" s="1"/>
  <c r="N285" s="1"/>
  <c r="DQ284"/>
  <c r="DP284"/>
  <c r="CJ284"/>
  <c r="CG284"/>
  <c r="CE284"/>
  <c r="CD284"/>
  <c r="CC284"/>
  <c r="AM284"/>
  <c r="AG284"/>
  <c r="AF284"/>
  <c r="M284"/>
  <c r="K284"/>
  <c r="I284"/>
  <c r="G284"/>
  <c r="D284"/>
  <c r="L284" s="1"/>
  <c r="N284" s="1"/>
  <c r="DQ283"/>
  <c r="CJ283"/>
  <c r="CE283"/>
  <c r="CD283"/>
  <c r="AG283"/>
  <c r="M283"/>
  <c r="K283"/>
  <c r="I283"/>
  <c r="G283"/>
  <c r="D283"/>
  <c r="L283" s="1"/>
  <c r="N283" s="1"/>
  <c r="CC282"/>
  <c r="M282" s="1"/>
  <c r="CA282"/>
  <c r="K282"/>
  <c r="I282"/>
  <c r="G282"/>
  <c r="D282"/>
  <c r="L282" s="1"/>
  <c r="N282" s="1"/>
  <c r="CC281"/>
  <c r="BZ281"/>
  <c r="AM281"/>
  <c r="AL281"/>
  <c r="AK281"/>
  <c r="AJ281"/>
  <c r="AI281"/>
  <c r="AH281"/>
  <c r="M281"/>
  <c r="K281"/>
  <c r="I281"/>
  <c r="G281"/>
  <c r="D281"/>
  <c r="L281" s="1"/>
  <c r="N281" s="1"/>
  <c r="CJ280"/>
  <c r="CI280"/>
  <c r="CH280"/>
  <c r="CG280"/>
  <c r="CF280"/>
  <c r="CD280"/>
  <c r="CC280"/>
  <c r="CB280"/>
  <c r="CA280"/>
  <c r="BZ280"/>
  <c r="AM280"/>
  <c r="AK280"/>
  <c r="AG280"/>
  <c r="M280" s="1"/>
  <c r="AF280"/>
  <c r="K280"/>
  <c r="I280"/>
  <c r="G280"/>
  <c r="D280"/>
  <c r="L280" s="1"/>
  <c r="CI279"/>
  <c r="CH279"/>
  <c r="CG279"/>
  <c r="CF279"/>
  <c r="CD279"/>
  <c r="CC279"/>
  <c r="CB279"/>
  <c r="CA279"/>
  <c r="BZ279"/>
  <c r="AM279"/>
  <c r="AK279"/>
  <c r="AG279"/>
  <c r="M279" s="1"/>
  <c r="AF279"/>
  <c r="K279"/>
  <c r="I279"/>
  <c r="G279"/>
  <c r="D279"/>
  <c r="L279" s="1"/>
  <c r="N279" s="1"/>
  <c r="CK278"/>
  <c r="CI278"/>
  <c r="CG278"/>
  <c r="CE278"/>
  <c r="CD278"/>
  <c r="CC278"/>
  <c r="CB278"/>
  <c r="BY278"/>
  <c r="BX278"/>
  <c r="BW278"/>
  <c r="BV278"/>
  <c r="AM278"/>
  <c r="AG278"/>
  <c r="AF278"/>
  <c r="M278" s="1"/>
  <c r="AE278"/>
  <c r="I278"/>
  <c r="G278"/>
  <c r="L278" s="1"/>
  <c r="D278"/>
  <c r="CQ277"/>
  <c r="CP277"/>
  <c r="CO277"/>
  <c r="CN277"/>
  <c r="CM277"/>
  <c r="CL277"/>
  <c r="CI277"/>
  <c r="CE277"/>
  <c r="CC277"/>
  <c r="AS277"/>
  <c r="AR277"/>
  <c r="AQ277"/>
  <c r="AP277"/>
  <c r="AO277"/>
  <c r="AG277"/>
  <c r="M277"/>
  <c r="I277"/>
  <c r="G277"/>
  <c r="D277"/>
  <c r="L277" s="1"/>
  <c r="N277" s="1"/>
  <c r="CD276"/>
  <c r="AM276"/>
  <c r="AG276"/>
  <c r="AF276"/>
  <c r="M276"/>
  <c r="I276"/>
  <c r="G276"/>
  <c r="D276"/>
  <c r="L276" s="1"/>
  <c r="N276" s="1"/>
  <c r="CE275"/>
  <c r="CC275"/>
  <c r="CB275"/>
  <c r="BZ275"/>
  <c r="M275" s="1"/>
  <c r="AE275"/>
  <c r="K275"/>
  <c r="I275"/>
  <c r="G275"/>
  <c r="D275"/>
  <c r="L275" s="1"/>
  <c r="N275" s="1"/>
  <c r="CJ274"/>
  <c r="CG274"/>
  <c r="M274"/>
  <c r="I274"/>
  <c r="G274"/>
  <c r="D274"/>
  <c r="L274" s="1"/>
  <c r="N274" s="1"/>
  <c r="CJ273"/>
  <c r="CI273"/>
  <c r="CE273"/>
  <c r="CD273"/>
  <c r="CC273"/>
  <c r="AM273"/>
  <c r="AL273"/>
  <c r="AK273"/>
  <c r="AG273"/>
  <c r="AF273"/>
  <c r="AC273"/>
  <c r="Z273"/>
  <c r="M273"/>
  <c r="I273"/>
  <c r="G273"/>
  <c r="D273"/>
  <c r="L273" s="1"/>
  <c r="N273" s="1"/>
  <c r="DQ272"/>
  <c r="DM272"/>
  <c r="CL272"/>
  <c r="CI272"/>
  <c r="CB272"/>
  <c r="CA272"/>
  <c r="BY272"/>
  <c r="BX272"/>
  <c r="BW272"/>
  <c r="BV272"/>
  <c r="AS272"/>
  <c r="AR272"/>
  <c r="AQ272"/>
  <c r="AP272"/>
  <c r="AO272"/>
  <c r="AN272"/>
  <c r="AK272"/>
  <c r="AG272"/>
  <c r="AC272"/>
  <c r="Z272"/>
  <c r="M272" s="1"/>
  <c r="Y272"/>
  <c r="K272"/>
  <c r="I272"/>
  <c r="G272"/>
  <c r="D272"/>
  <c r="L272" s="1"/>
  <c r="CJ271"/>
  <c r="CI271"/>
  <c r="CD271"/>
  <c r="CC271"/>
  <c r="AJ271"/>
  <c r="AI271"/>
  <c r="AH271"/>
  <c r="AG271"/>
  <c r="M271" s="1"/>
  <c r="AF271"/>
  <c r="I271"/>
  <c r="G271"/>
  <c r="L271" s="1"/>
  <c r="N271" s="1"/>
  <c r="D271"/>
  <c r="CJ270"/>
  <c r="CH270"/>
  <c r="CF270"/>
  <c r="CE270"/>
  <c r="AM270"/>
  <c r="AL270"/>
  <c r="AG270"/>
  <c r="M270" s="1"/>
  <c r="Z270"/>
  <c r="I270"/>
  <c r="G270"/>
  <c r="L270" s="1"/>
  <c r="D270"/>
  <c r="CK269"/>
  <c r="CJ269"/>
  <c r="CE269"/>
  <c r="CC269"/>
  <c r="CA269"/>
  <c r="M269"/>
  <c r="I269"/>
  <c r="G269"/>
  <c r="D269"/>
  <c r="L269" s="1"/>
  <c r="N269" s="1"/>
  <c r="DQ268"/>
  <c r="CK268"/>
  <c r="CJ268"/>
  <c r="CG268"/>
  <c r="CB268"/>
  <c r="BY268"/>
  <c r="M268" s="1"/>
  <c r="AG268"/>
  <c r="K268"/>
  <c r="I268"/>
  <c r="G268"/>
  <c r="D268"/>
  <c r="L268" s="1"/>
  <c r="N268" s="1"/>
  <c r="CJ267"/>
  <c r="CI267"/>
  <c r="AS267"/>
  <c r="AR267"/>
  <c r="AQ267"/>
  <c r="AP267"/>
  <c r="AO267"/>
  <c r="AN267"/>
  <c r="AM267"/>
  <c r="AL267"/>
  <c r="AK267"/>
  <c r="AJ267"/>
  <c r="M267" s="1"/>
  <c r="AI267"/>
  <c r="I267"/>
  <c r="G267"/>
  <c r="L267" s="1"/>
  <c r="D267"/>
  <c r="CI266"/>
  <c r="CH266"/>
  <c r="CG266"/>
  <c r="CE266"/>
  <c r="CD266"/>
  <c r="CC266"/>
  <c r="CB266"/>
  <c r="CA266"/>
  <c r="AE266"/>
  <c r="M266"/>
  <c r="K266"/>
  <c r="I266"/>
  <c r="G266"/>
  <c r="D266"/>
  <c r="L266" s="1"/>
  <c r="N266" s="1"/>
  <c r="DQ265"/>
  <c r="DP265"/>
  <c r="CI265"/>
  <c r="CF265"/>
  <c r="CE265"/>
  <c r="CD265"/>
  <c r="CC265"/>
  <c r="CA265"/>
  <c r="AY265"/>
  <c r="AX265"/>
  <c r="AW265"/>
  <c r="AV265"/>
  <c r="AU265"/>
  <c r="AT265"/>
  <c r="AS265"/>
  <c r="AR265"/>
  <c r="AQ265"/>
  <c r="AP265"/>
  <c r="AO265"/>
  <c r="AG265"/>
  <c r="AF265"/>
  <c r="M265" s="1"/>
  <c r="AE265"/>
  <c r="K265"/>
  <c r="I265"/>
  <c r="G265"/>
  <c r="D265"/>
  <c r="L265" s="1"/>
  <c r="N265" s="1"/>
  <c r="CK264"/>
  <c r="CI264"/>
  <c r="AS264"/>
  <c r="AR264"/>
  <c r="AQ264"/>
  <c r="AP264"/>
  <c r="AO264"/>
  <c r="AN264"/>
  <c r="AM264"/>
  <c r="AL264"/>
  <c r="M264" s="1"/>
  <c r="AK264"/>
  <c r="I264"/>
  <c r="G264"/>
  <c r="L264" s="1"/>
  <c r="D264"/>
  <c r="CK263"/>
  <c r="CI263"/>
  <c r="CG263"/>
  <c r="CD263"/>
  <c r="AG263"/>
  <c r="M263"/>
  <c r="I263"/>
  <c r="G263"/>
  <c r="D263"/>
  <c r="L263" s="1"/>
  <c r="N263" s="1"/>
  <c r="CJ262"/>
  <c r="CI262"/>
  <c r="CH262"/>
  <c r="AK262"/>
  <c r="M262"/>
  <c r="I262"/>
  <c r="G262"/>
  <c r="D262"/>
  <c r="L262" s="1"/>
  <c r="N262" s="1"/>
  <c r="AS261"/>
  <c r="AR261"/>
  <c r="AQ261"/>
  <c r="AP261"/>
  <c r="M261" s="1"/>
  <c r="AO261"/>
  <c r="L261"/>
  <c r="N261" s="1"/>
  <c r="G261"/>
  <c r="DW260"/>
  <c r="DQ260"/>
  <c r="AY260"/>
  <c r="AX260"/>
  <c r="AW260"/>
  <c r="AV260"/>
  <c r="AU260"/>
  <c r="AT260"/>
  <c r="AS260"/>
  <c r="AR260"/>
  <c r="AQ260"/>
  <c r="AP260"/>
  <c r="AO260"/>
  <c r="AN260"/>
  <c r="AG260"/>
  <c r="M260"/>
  <c r="K260"/>
  <c r="I260"/>
  <c r="G260"/>
  <c r="D260"/>
  <c r="L260" s="1"/>
  <c r="N260" s="1"/>
  <c r="DQ259"/>
  <c r="CJ259"/>
  <c r="CD259"/>
  <c r="CC259"/>
  <c r="BZ259"/>
  <c r="AY259"/>
  <c r="AX259"/>
  <c r="AW259"/>
  <c r="AV259"/>
  <c r="AU259"/>
  <c r="AT259"/>
  <c r="AS259"/>
  <c r="AR259"/>
  <c r="AQ259"/>
  <c r="AP259"/>
  <c r="AO259"/>
  <c r="AN259"/>
  <c r="AM259"/>
  <c r="AG259"/>
  <c r="M259"/>
  <c r="K259"/>
  <c r="I259"/>
  <c r="G259"/>
  <c r="D259"/>
  <c r="L259" s="1"/>
  <c r="N259" s="1"/>
  <c r="CI258"/>
  <c r="CG258"/>
  <c r="CF258"/>
  <c r="CE258"/>
  <c r="CC258"/>
  <c r="CB258"/>
  <c r="AG258"/>
  <c r="M258"/>
  <c r="I258"/>
  <c r="G258"/>
  <c r="D258"/>
  <c r="L258" s="1"/>
  <c r="N258" s="1"/>
  <c r="M257"/>
  <c r="D257"/>
  <c r="L257" s="1"/>
  <c r="N257" s="1"/>
  <c r="CJ256"/>
  <c r="CI256"/>
  <c r="CH256"/>
  <c r="CG256"/>
  <c r="CE256"/>
  <c r="CB256"/>
  <c r="AM256"/>
  <c r="AL256"/>
  <c r="AK256"/>
  <c r="AJ256"/>
  <c r="M256" s="1"/>
  <c r="AG256"/>
  <c r="I256"/>
  <c r="G256"/>
  <c r="L256" s="1"/>
  <c r="N256" s="1"/>
  <c r="D256"/>
  <c r="CK255"/>
  <c r="CJ255"/>
  <c r="CI255"/>
  <c r="CH255"/>
  <c r="CG255"/>
  <c r="AS255"/>
  <c r="AR255"/>
  <c r="AQ255"/>
  <c r="AP255"/>
  <c r="AO255"/>
  <c r="AN255"/>
  <c r="AM255"/>
  <c r="AL255"/>
  <c r="AK255"/>
  <c r="AJ255"/>
  <c r="M255" s="1"/>
  <c r="AI255"/>
  <c r="I255"/>
  <c r="G255"/>
  <c r="L255" s="1"/>
  <c r="D255"/>
  <c r="CA254"/>
  <c r="BZ254"/>
  <c r="AG254"/>
  <c r="AF254"/>
  <c r="AE254"/>
  <c r="M254" s="1"/>
  <c r="AD254"/>
  <c r="I254"/>
  <c r="G254"/>
  <c r="L254" s="1"/>
  <c r="N254" s="1"/>
  <c r="D254"/>
  <c r="CA253"/>
  <c r="BZ253"/>
  <c r="AG253"/>
  <c r="AF253"/>
  <c r="AE253"/>
  <c r="M253" s="1"/>
  <c r="AD253"/>
  <c r="I253"/>
  <c r="G253"/>
  <c r="L253" s="1"/>
  <c r="D253"/>
  <c r="DQ252"/>
  <c r="DP252"/>
  <c r="CE252"/>
  <c r="CD252"/>
  <c r="CC252"/>
  <c r="BZ252"/>
  <c r="AG252"/>
  <c r="AF252"/>
  <c r="AE252"/>
  <c r="M252" s="1"/>
  <c r="AB252"/>
  <c r="K252"/>
  <c r="I252"/>
  <c r="G252"/>
  <c r="D252"/>
  <c r="L252" s="1"/>
  <c r="N252" s="1"/>
  <c r="CE251"/>
  <c r="CD251"/>
  <c r="CC251"/>
  <c r="AG251"/>
  <c r="AF251"/>
  <c r="Y251"/>
  <c r="M251"/>
  <c r="I251"/>
  <c r="G251"/>
  <c r="D251"/>
  <c r="L251" s="1"/>
  <c r="N251" s="1"/>
  <c r="CE250"/>
  <c r="CD250"/>
  <c r="CC250"/>
  <c r="CB250"/>
  <c r="CA250"/>
  <c r="BX250"/>
  <c r="BV250"/>
  <c r="BR250"/>
  <c r="M250"/>
  <c r="K250"/>
  <c r="I250"/>
  <c r="G250"/>
  <c r="D250"/>
  <c r="L250" s="1"/>
  <c r="N250" s="1"/>
  <c r="CE249"/>
  <c r="M249" s="1"/>
  <c r="AG249"/>
  <c r="I249"/>
  <c r="G249"/>
  <c r="L249" s="1"/>
  <c r="D249"/>
  <c r="M248"/>
  <c r="L248"/>
  <c r="N248" s="1"/>
  <c r="D248"/>
  <c r="CB247"/>
  <c r="M247" s="1"/>
  <c r="AE247"/>
  <c r="I247"/>
  <c r="G247"/>
  <c r="L247" s="1"/>
  <c r="D247"/>
  <c r="M246"/>
  <c r="L246"/>
  <c r="N246" s="1"/>
  <c r="D246"/>
  <c r="CB245"/>
  <c r="M245" s="1"/>
  <c r="AD245"/>
  <c r="I245"/>
  <c r="G245"/>
  <c r="L245" s="1"/>
  <c r="D245"/>
  <c r="M244"/>
  <c r="L244"/>
  <c r="N244" s="1"/>
  <c r="D244"/>
  <c r="M243"/>
  <c r="L243"/>
  <c r="N243" s="1"/>
  <c r="D243"/>
  <c r="M242"/>
  <c r="L242"/>
  <c r="N242" s="1"/>
  <c r="D242"/>
  <c r="CB241"/>
  <c r="CA241"/>
  <c r="BZ241"/>
  <c r="AM241"/>
  <c r="AL241"/>
  <c r="AK241"/>
  <c r="AJ241"/>
  <c r="AI241"/>
  <c r="AH241"/>
  <c r="AG241"/>
  <c r="AF241"/>
  <c r="AE241"/>
  <c r="AD241"/>
  <c r="AC241"/>
  <c r="AB241"/>
  <c r="M241"/>
  <c r="I241"/>
  <c r="G241"/>
  <c r="D241"/>
  <c r="L241" s="1"/>
  <c r="N241" s="1"/>
  <c r="M240"/>
  <c r="L240"/>
  <c r="N240" s="1"/>
  <c r="M239"/>
  <c r="L239"/>
  <c r="N239" s="1"/>
  <c r="D239"/>
  <c r="M238"/>
  <c r="L238"/>
  <c r="N238" s="1"/>
  <c r="D238"/>
  <c r="M237"/>
  <c r="L237"/>
  <c r="N237" s="1"/>
  <c r="D237"/>
  <c r="M236"/>
  <c r="L236"/>
  <c r="N236" s="1"/>
  <c r="D236"/>
  <c r="M235"/>
  <c r="L235"/>
  <c r="N235" s="1"/>
  <c r="D235"/>
  <c r="M234"/>
  <c r="L234"/>
  <c r="N234" s="1"/>
  <c r="D234"/>
  <c r="M233"/>
  <c r="L233"/>
  <c r="N233" s="1"/>
  <c r="D233"/>
  <c r="M232"/>
  <c r="L232"/>
  <c r="N232" s="1"/>
  <c r="D232"/>
  <c r="M231"/>
  <c r="L231"/>
  <c r="N231" s="1"/>
  <c r="D231"/>
  <c r="M230"/>
  <c r="L230"/>
  <c r="N230" s="1"/>
  <c r="D230"/>
  <c r="M229"/>
  <c r="L229"/>
  <c r="N229" s="1"/>
  <c r="D229"/>
  <c r="M228"/>
  <c r="L228"/>
  <c r="N228" s="1"/>
  <c r="M227"/>
  <c r="D227"/>
  <c r="L227" s="1"/>
  <c r="N227" s="1"/>
  <c r="M226"/>
  <c r="D226"/>
  <c r="L226" s="1"/>
  <c r="N226" s="1"/>
  <c r="M225"/>
  <c r="L225"/>
  <c r="N225" s="1"/>
  <c r="M224"/>
  <c r="I224"/>
  <c r="G224"/>
  <c r="L224" s="1"/>
  <c r="N224" s="1"/>
  <c r="D224"/>
  <c r="AC223"/>
  <c r="M223" s="1"/>
  <c r="AB223"/>
  <c r="K223"/>
  <c r="G223"/>
  <c r="L223" s="1"/>
  <c r="M222"/>
  <c r="I222"/>
  <c r="G222"/>
  <c r="L222" s="1"/>
  <c r="N222" s="1"/>
  <c r="M221"/>
  <c r="K221"/>
  <c r="I221"/>
  <c r="L221" s="1"/>
  <c r="N221" s="1"/>
  <c r="G221"/>
  <c r="M220"/>
  <c r="I220"/>
  <c r="G220"/>
  <c r="L220" s="1"/>
  <c r="N220" s="1"/>
  <c r="M219"/>
  <c r="I219"/>
  <c r="G219"/>
  <c r="L219" s="1"/>
  <c r="N219" s="1"/>
  <c r="M218"/>
  <c r="K218"/>
  <c r="I218"/>
  <c r="L218" s="1"/>
  <c r="N218" s="1"/>
  <c r="G218"/>
  <c r="AC217"/>
  <c r="M217" s="1"/>
  <c r="AB217"/>
  <c r="L217"/>
  <c r="N217" s="1"/>
  <c r="G217"/>
  <c r="AC216"/>
  <c r="AB216"/>
  <c r="W216"/>
  <c r="W311" s="1"/>
  <c r="M216"/>
  <c r="G216"/>
  <c r="L216" s="1"/>
  <c r="N216" s="1"/>
  <c r="AB215"/>
  <c r="AA215"/>
  <c r="Z215"/>
  <c r="Y215"/>
  <c r="M215"/>
  <c r="G215"/>
  <c r="L215" s="1"/>
  <c r="N215" s="1"/>
  <c r="AA214"/>
  <c r="Z214"/>
  <c r="M214" s="1"/>
  <c r="Y214"/>
  <c r="L214"/>
  <c r="N214" s="1"/>
  <c r="G214"/>
  <c r="M213"/>
  <c r="L213"/>
  <c r="N213" s="1"/>
  <c r="G213"/>
  <c r="M212"/>
  <c r="L212"/>
  <c r="N212" s="1"/>
  <c r="G212"/>
  <c r="M211"/>
  <c r="I211"/>
  <c r="G211"/>
  <c r="L211" s="1"/>
  <c r="N211" s="1"/>
  <c r="M210"/>
  <c r="I210"/>
  <c r="G210"/>
  <c r="L210" s="1"/>
  <c r="N210" s="1"/>
  <c r="BY209"/>
  <c r="BX209"/>
  <c r="BW209"/>
  <c r="M209" s="1"/>
  <c r="AA209"/>
  <c r="K209"/>
  <c r="I209"/>
  <c r="L209" s="1"/>
  <c r="N209" s="1"/>
  <c r="G209"/>
  <c r="M208"/>
  <c r="L208"/>
  <c r="N208" s="1"/>
  <c r="G208"/>
  <c r="M207"/>
  <c r="L207"/>
  <c r="N207" s="1"/>
  <c r="G207"/>
  <c r="BX206"/>
  <c r="M206" s="1"/>
  <c r="BW206"/>
  <c r="I206"/>
  <c r="G206"/>
  <c r="L206" s="1"/>
  <c r="D206"/>
  <c r="BW205"/>
  <c r="M205"/>
  <c r="K205"/>
  <c r="I205"/>
  <c r="G205"/>
  <c r="L205" s="1"/>
  <c r="N205" s="1"/>
  <c r="BW204"/>
  <c r="BR204"/>
  <c r="M204" s="1"/>
  <c r="BO204"/>
  <c r="BO311" s="1"/>
  <c r="K204"/>
  <c r="I204"/>
  <c r="L204" s="1"/>
  <c r="N204" s="1"/>
  <c r="G204"/>
  <c r="R203"/>
  <c r="M203"/>
  <c r="K203"/>
  <c r="I203"/>
  <c r="G203"/>
  <c r="D203"/>
  <c r="L203" s="1"/>
  <c r="N203" s="1"/>
  <c r="BX202"/>
  <c r="BW202"/>
  <c r="BV202"/>
  <c r="M202" s="1"/>
  <c r="AA202"/>
  <c r="I202"/>
  <c r="G202"/>
  <c r="L202" s="1"/>
  <c r="M201"/>
  <c r="I201"/>
  <c r="G201"/>
  <c r="L201" s="1"/>
  <c r="N201" s="1"/>
  <c r="CU199"/>
  <c r="AY199"/>
  <c r="AX199"/>
  <c r="M199" s="1"/>
  <c r="AW199"/>
  <c r="I199"/>
  <c r="G199"/>
  <c r="L199" s="1"/>
  <c r="N199" s="1"/>
  <c r="D199"/>
  <c r="BE198"/>
  <c r="BD198"/>
  <c r="BC198"/>
  <c r="BB198"/>
  <c r="BA198"/>
  <c r="M198" s="1"/>
  <c r="AZ198"/>
  <c r="L198"/>
  <c r="N198" s="1"/>
  <c r="G198"/>
  <c r="CW197"/>
  <c r="CV197"/>
  <c r="BE197"/>
  <c r="BD197"/>
  <c r="BC197"/>
  <c r="BB197"/>
  <c r="BA197"/>
  <c r="AZ197"/>
  <c r="AY197"/>
  <c r="M197" s="1"/>
  <c r="AX197"/>
  <c r="I197"/>
  <c r="G197"/>
  <c r="L197" s="1"/>
  <c r="D197"/>
  <c r="BK196"/>
  <c r="BJ196"/>
  <c r="BI196"/>
  <c r="BH196"/>
  <c r="BG196"/>
  <c r="M196" s="1"/>
  <c r="BF196"/>
  <c r="L196"/>
  <c r="N196" s="1"/>
  <c r="G196"/>
  <c r="BE195"/>
  <c r="BD195"/>
  <c r="BC195"/>
  <c r="BB195"/>
  <c r="BA195"/>
  <c r="M195" s="1"/>
  <c r="AZ195"/>
  <c r="L195"/>
  <c r="N195" s="1"/>
  <c r="G195"/>
  <c r="BE194"/>
  <c r="BD194"/>
  <c r="BC194"/>
  <c r="BB194"/>
  <c r="BA194"/>
  <c r="M194" s="1"/>
  <c r="AZ194"/>
  <c r="L194"/>
  <c r="N194" s="1"/>
  <c r="G194"/>
  <c r="BE193"/>
  <c r="BD193"/>
  <c r="BC193"/>
  <c r="BB193"/>
  <c r="BA193"/>
  <c r="M193" s="1"/>
  <c r="AZ193"/>
  <c r="I193"/>
  <c r="G193"/>
  <c r="L193" s="1"/>
  <c r="N193" s="1"/>
  <c r="D193"/>
  <c r="BE192"/>
  <c r="BD192"/>
  <c r="BC192"/>
  <c r="BB192"/>
  <c r="BA192"/>
  <c r="M192" s="1"/>
  <c r="AZ192"/>
  <c r="L192"/>
  <c r="N192" s="1"/>
  <c r="G192"/>
  <c r="BE191"/>
  <c r="BD191"/>
  <c r="BC191"/>
  <c r="BB191"/>
  <c r="BA191"/>
  <c r="M191" s="1"/>
  <c r="AZ191"/>
  <c r="L191"/>
  <c r="N191" s="1"/>
  <c r="G191"/>
  <c r="BK190"/>
  <c r="BJ190"/>
  <c r="BI190"/>
  <c r="BH190"/>
  <c r="BG190"/>
  <c r="M190" s="1"/>
  <c r="BF190"/>
  <c r="L190"/>
  <c r="N190" s="1"/>
  <c r="G190"/>
  <c r="BE189"/>
  <c r="BD189"/>
  <c r="BC189"/>
  <c r="BB189"/>
  <c r="BA189"/>
  <c r="M189" s="1"/>
  <c r="AZ189"/>
  <c r="L189"/>
  <c r="N189" s="1"/>
  <c r="G189"/>
  <c r="BK188"/>
  <c r="BJ188"/>
  <c r="BI188"/>
  <c r="M188" s="1"/>
  <c r="BH188"/>
  <c r="L188"/>
  <c r="N188" s="1"/>
  <c r="G188"/>
  <c r="M187"/>
  <c r="L187"/>
  <c r="N187" s="1"/>
  <c r="G187"/>
  <c r="BE186"/>
  <c r="BD186"/>
  <c r="BC186"/>
  <c r="BB186"/>
  <c r="BA186"/>
  <c r="M186" s="1"/>
  <c r="AZ186"/>
  <c r="L186"/>
  <c r="N186" s="1"/>
  <c r="G186"/>
  <c r="BE185"/>
  <c r="BD185"/>
  <c r="BC185"/>
  <c r="BB185"/>
  <c r="BA185"/>
  <c r="M185" s="1"/>
  <c r="AZ185"/>
  <c r="L185"/>
  <c r="N185" s="1"/>
  <c r="G185"/>
  <c r="AY184"/>
  <c r="AX184"/>
  <c r="AW184"/>
  <c r="AV184"/>
  <c r="AU184"/>
  <c r="M184" s="1"/>
  <c r="AT184"/>
  <c r="L184"/>
  <c r="N184" s="1"/>
  <c r="G184"/>
  <c r="BK183"/>
  <c r="BJ183"/>
  <c r="BI183"/>
  <c r="BH183"/>
  <c r="BG183"/>
  <c r="M183" s="1"/>
  <c r="BF183"/>
  <c r="L183"/>
  <c r="N183" s="1"/>
  <c r="G183"/>
  <c r="M182"/>
  <c r="L182"/>
  <c r="N182" s="1"/>
  <c r="G182"/>
  <c r="BC181"/>
  <c r="BB181"/>
  <c r="BA181"/>
  <c r="AZ181"/>
  <c r="AY181"/>
  <c r="AX181"/>
  <c r="AW181"/>
  <c r="M181" s="1"/>
  <c r="AV181"/>
  <c r="L181"/>
  <c r="N181" s="1"/>
  <c r="G181"/>
  <c r="M180"/>
  <c r="L180"/>
  <c r="N180" s="1"/>
  <c r="G180"/>
  <c r="BE179"/>
  <c r="BD179"/>
  <c r="BC179"/>
  <c r="BB179"/>
  <c r="BA179"/>
  <c r="M179" s="1"/>
  <c r="AZ179"/>
  <c r="L179"/>
  <c r="N179" s="1"/>
  <c r="G179"/>
  <c r="BE178"/>
  <c r="BD178"/>
  <c r="BC178"/>
  <c r="BB178"/>
  <c r="BA178"/>
  <c r="M178" s="1"/>
  <c r="AZ178"/>
  <c r="L178"/>
  <c r="N178" s="1"/>
  <c r="G178"/>
  <c r="BK177"/>
  <c r="BK311" s="1"/>
  <c r="BJ177"/>
  <c r="BJ311" s="1"/>
  <c r="BI177"/>
  <c r="BI311" s="1"/>
  <c r="BH177"/>
  <c r="BH311" s="1"/>
  <c r="BG177"/>
  <c r="BG311" s="1"/>
  <c r="BF177"/>
  <c r="BF311" s="1"/>
  <c r="L177"/>
  <c r="G177"/>
  <c r="BE176"/>
  <c r="BD176"/>
  <c r="BC176"/>
  <c r="BB176"/>
  <c r="BA176"/>
  <c r="AZ176"/>
  <c r="AY176"/>
  <c r="AX176"/>
  <c r="AW176"/>
  <c r="AV176"/>
  <c r="AU176"/>
  <c r="M176" s="1"/>
  <c r="AT176"/>
  <c r="L176"/>
  <c r="N176" s="1"/>
  <c r="G176"/>
  <c r="BE175"/>
  <c r="BD175"/>
  <c r="BC175"/>
  <c r="BB175"/>
  <c r="BA175"/>
  <c r="M175" s="1"/>
  <c r="AZ175"/>
  <c r="L175"/>
  <c r="N175" s="1"/>
  <c r="G175"/>
  <c r="BE174"/>
  <c r="BD174"/>
  <c r="BC174"/>
  <c r="BB174"/>
  <c r="BA174"/>
  <c r="M174" s="1"/>
  <c r="AZ174"/>
  <c r="L174"/>
  <c r="N174" s="1"/>
  <c r="G174"/>
  <c r="BE173"/>
  <c r="BD173"/>
  <c r="BC173"/>
  <c r="BB173"/>
  <c r="BA173"/>
  <c r="M173" s="1"/>
  <c r="AZ173"/>
  <c r="N173"/>
  <c r="L173"/>
  <c r="G173"/>
  <c r="BE172"/>
  <c r="BD172"/>
  <c r="BC172"/>
  <c r="BB172"/>
  <c r="BA172"/>
  <c r="M172" s="1"/>
  <c r="AZ172"/>
  <c r="L172"/>
  <c r="N172" s="1"/>
  <c r="G172"/>
  <c r="BE171"/>
  <c r="BD171"/>
  <c r="BC171"/>
  <c r="BB171"/>
  <c r="BA171"/>
  <c r="M171" s="1"/>
  <c r="AZ171"/>
  <c r="N171"/>
  <c r="L171"/>
  <c r="G171"/>
  <c r="M170"/>
  <c r="L170"/>
  <c r="N170" s="1"/>
  <c r="M169"/>
  <c r="L169"/>
  <c r="M168"/>
  <c r="L168"/>
  <c r="N168" s="1"/>
  <c r="M167"/>
  <c r="L167"/>
  <c r="N167" s="1"/>
  <c r="M166"/>
  <c r="L166"/>
  <c r="N166" s="1"/>
  <c r="M165"/>
  <c r="L165"/>
  <c r="AY163"/>
  <c r="AX163"/>
  <c r="AW163"/>
  <c r="AV163"/>
  <c r="AU163"/>
  <c r="M163" s="1"/>
  <c r="AT163"/>
  <c r="I163"/>
  <c r="G163"/>
  <c r="L163" s="1"/>
  <c r="N163" s="1"/>
  <c r="D163"/>
  <c r="BE162"/>
  <c r="BD162"/>
  <c r="BD311" s="1"/>
  <c r="BC162"/>
  <c r="BB162"/>
  <c r="BB311" s="1"/>
  <c r="BA162"/>
  <c r="AZ162"/>
  <c r="AZ311" s="1"/>
  <c r="AY162"/>
  <c r="AX162"/>
  <c r="AW162"/>
  <c r="M162"/>
  <c r="I162"/>
  <c r="G162"/>
  <c r="D162"/>
  <c r="L162" s="1"/>
  <c r="AY161"/>
  <c r="AX161"/>
  <c r="M161" s="1"/>
  <c r="AW161"/>
  <c r="K161"/>
  <c r="I161"/>
  <c r="G161"/>
  <c r="D161"/>
  <c r="L161" s="1"/>
  <c r="N161" s="1"/>
  <c r="AY160"/>
  <c r="AX160"/>
  <c r="AW160"/>
  <c r="AV160"/>
  <c r="M160" s="1"/>
  <c r="I160"/>
  <c r="G160"/>
  <c r="D160"/>
  <c r="L160" s="1"/>
  <c r="AY159"/>
  <c r="AX159"/>
  <c r="AW159"/>
  <c r="AV159"/>
  <c r="M159" s="1"/>
  <c r="I159"/>
  <c r="G159"/>
  <c r="D159"/>
  <c r="L159" s="1"/>
  <c r="M158"/>
  <c r="I158"/>
  <c r="D158"/>
  <c r="AY157"/>
  <c r="AX157"/>
  <c r="AW157"/>
  <c r="AV157"/>
  <c r="AU157"/>
  <c r="M157" s="1"/>
  <c r="AT157"/>
  <c r="K157"/>
  <c r="I157"/>
  <c r="G157"/>
  <c r="D157"/>
  <c r="L157" s="1"/>
  <c r="N157" s="1"/>
  <c r="AY156"/>
  <c r="AX156"/>
  <c r="AW156"/>
  <c r="AV156"/>
  <c r="M156"/>
  <c r="I156"/>
  <c r="G156"/>
  <c r="D156"/>
  <c r="L156" s="1"/>
  <c r="M155"/>
  <c r="I155"/>
  <c r="G155"/>
  <c r="D155"/>
  <c r="L155" s="1"/>
  <c r="AY154"/>
  <c r="AX154"/>
  <c r="AW154"/>
  <c r="AV154"/>
  <c r="M154"/>
  <c r="I154"/>
  <c r="G154"/>
  <c r="D154"/>
  <c r="L154" s="1"/>
  <c r="AY153"/>
  <c r="AX153"/>
  <c r="AW153"/>
  <c r="AV153"/>
  <c r="M153"/>
  <c r="I153"/>
  <c r="G153"/>
  <c r="D153"/>
  <c r="L153" s="1"/>
  <c r="AY152"/>
  <c r="AX152"/>
  <c r="AW152"/>
  <c r="AV152"/>
  <c r="M152"/>
  <c r="I152"/>
  <c r="G152"/>
  <c r="D152"/>
  <c r="L152" s="1"/>
  <c r="AY151"/>
  <c r="AX151"/>
  <c r="AW151"/>
  <c r="AV151"/>
  <c r="M151"/>
  <c r="I151"/>
  <c r="G151"/>
  <c r="D151"/>
  <c r="L151" s="1"/>
  <c r="AY150"/>
  <c r="AX150"/>
  <c r="AW150"/>
  <c r="AV150"/>
  <c r="M150"/>
  <c r="I150"/>
  <c r="G150"/>
  <c r="D150"/>
  <c r="L150" s="1"/>
  <c r="M149"/>
  <c r="I149"/>
  <c r="D149"/>
  <c r="L149" s="1"/>
  <c r="N149" s="1"/>
  <c r="CS148"/>
  <c r="AY148"/>
  <c r="AX148"/>
  <c r="AW148"/>
  <c r="AV148"/>
  <c r="AU148"/>
  <c r="AT148"/>
  <c r="M148"/>
  <c r="I148"/>
  <c r="G148"/>
  <c r="D148"/>
  <c r="L148" s="1"/>
  <c r="AY147"/>
  <c r="AX147"/>
  <c r="AW147"/>
  <c r="AV147"/>
  <c r="M147" s="1"/>
  <c r="AU147"/>
  <c r="I147"/>
  <c r="G147"/>
  <c r="L147" s="1"/>
  <c r="N147" s="1"/>
  <c r="D147"/>
  <c r="AY146"/>
  <c r="AX146"/>
  <c r="AW146"/>
  <c r="AV146"/>
  <c r="AU146"/>
  <c r="M146" s="1"/>
  <c r="I146"/>
  <c r="G146"/>
  <c r="D146"/>
  <c r="L146" s="1"/>
  <c r="AY145"/>
  <c r="AX145"/>
  <c r="AW145"/>
  <c r="AV145"/>
  <c r="M145" s="1"/>
  <c r="AU145"/>
  <c r="K145"/>
  <c r="I145"/>
  <c r="G145"/>
  <c r="D145"/>
  <c r="L145" s="1"/>
  <c r="N145" s="1"/>
  <c r="AY144"/>
  <c r="AX144"/>
  <c r="AW144"/>
  <c r="AV144"/>
  <c r="AU144"/>
  <c r="AT144"/>
  <c r="M144"/>
  <c r="I144"/>
  <c r="G144"/>
  <c r="D144"/>
  <c r="L144" s="1"/>
  <c r="AY143"/>
  <c r="AX143"/>
  <c r="AW143"/>
  <c r="AV143"/>
  <c r="AU143"/>
  <c r="AT143"/>
  <c r="M143"/>
  <c r="K143"/>
  <c r="I143"/>
  <c r="G143"/>
  <c r="D143"/>
  <c r="L143" s="1"/>
  <c r="N143" s="1"/>
  <c r="CR142"/>
  <c r="AY142"/>
  <c r="AX142"/>
  <c r="AW142"/>
  <c r="AV142"/>
  <c r="AU142"/>
  <c r="AT142"/>
  <c r="M142"/>
  <c r="K142"/>
  <c r="I142"/>
  <c r="G142"/>
  <c r="D142"/>
  <c r="L142" s="1"/>
  <c r="N142" s="1"/>
  <c r="AY141"/>
  <c r="AX141"/>
  <c r="AW141"/>
  <c r="AV141"/>
  <c r="AU141"/>
  <c r="M141" s="1"/>
  <c r="AT141"/>
  <c r="I141"/>
  <c r="G141"/>
  <c r="L141" s="1"/>
  <c r="N141" s="1"/>
  <c r="D141"/>
  <c r="AY140"/>
  <c r="AX140"/>
  <c r="AW140"/>
  <c r="AV140"/>
  <c r="AU140"/>
  <c r="M140" s="1"/>
  <c r="AT140"/>
  <c r="I140"/>
  <c r="G140"/>
  <c r="L140" s="1"/>
  <c r="N140" s="1"/>
  <c r="D140"/>
  <c r="AT139"/>
  <c r="M139"/>
  <c r="I139"/>
  <c r="G139"/>
  <c r="D139"/>
  <c r="L139" s="1"/>
  <c r="CR138"/>
  <c r="M138"/>
  <c r="I138"/>
  <c r="D138"/>
  <c r="L138" s="1"/>
  <c r="N138" s="1"/>
  <c r="AY137"/>
  <c r="AX137"/>
  <c r="AW137"/>
  <c r="AV137"/>
  <c r="AU137"/>
  <c r="AT137"/>
  <c r="M137"/>
  <c r="I137"/>
  <c r="G137"/>
  <c r="D137"/>
  <c r="L137" s="1"/>
  <c r="CS136"/>
  <c r="CR136"/>
  <c r="AY136"/>
  <c r="AX136"/>
  <c r="AW136"/>
  <c r="AV136"/>
  <c r="AU136"/>
  <c r="AT136"/>
  <c r="M136"/>
  <c r="I136"/>
  <c r="G136"/>
  <c r="D136"/>
  <c r="L136" s="1"/>
  <c r="AY135"/>
  <c r="AX135"/>
  <c r="AW135"/>
  <c r="AV135"/>
  <c r="AU135"/>
  <c r="AT135"/>
  <c r="M135"/>
  <c r="K135"/>
  <c r="I135"/>
  <c r="G135"/>
  <c r="D135"/>
  <c r="L135" s="1"/>
  <c r="N135" s="1"/>
  <c r="AY134"/>
  <c r="AX134"/>
  <c r="AW134"/>
  <c r="AV134"/>
  <c r="AU134"/>
  <c r="M134" s="1"/>
  <c r="AT134"/>
  <c r="K134"/>
  <c r="I134"/>
  <c r="G134"/>
  <c r="D134"/>
  <c r="L134" s="1"/>
  <c r="N134" s="1"/>
  <c r="AY133"/>
  <c r="AX133"/>
  <c r="AW133"/>
  <c r="AV133"/>
  <c r="AU133"/>
  <c r="AT133"/>
  <c r="M133" s="1"/>
  <c r="I133"/>
  <c r="G133"/>
  <c r="D133"/>
  <c r="L133" s="1"/>
  <c r="AY132"/>
  <c r="AX132"/>
  <c r="AW132"/>
  <c r="AV132"/>
  <c r="AU132"/>
  <c r="AT132"/>
  <c r="M132" s="1"/>
  <c r="K132"/>
  <c r="I132"/>
  <c r="G132"/>
  <c r="D132"/>
  <c r="AY131"/>
  <c r="AX131"/>
  <c r="AW131"/>
  <c r="AV131"/>
  <c r="AU131"/>
  <c r="M131" s="1"/>
  <c r="AT131"/>
  <c r="I131"/>
  <c r="G131"/>
  <c r="L131" s="1"/>
  <c r="N131" s="1"/>
  <c r="D131"/>
  <c r="AY130"/>
  <c r="AX130"/>
  <c r="AW130"/>
  <c r="AV130"/>
  <c r="AU130"/>
  <c r="M130" s="1"/>
  <c r="AT130"/>
  <c r="I130"/>
  <c r="G130"/>
  <c r="L130" s="1"/>
  <c r="N130" s="1"/>
  <c r="D130"/>
  <c r="AY129"/>
  <c r="AX129"/>
  <c r="AW129"/>
  <c r="AV129"/>
  <c r="AU129"/>
  <c r="M129" s="1"/>
  <c r="AT129"/>
  <c r="I129"/>
  <c r="G129"/>
  <c r="L129" s="1"/>
  <c r="N129" s="1"/>
  <c r="D129"/>
  <c r="AY128"/>
  <c r="AX128"/>
  <c r="AW128"/>
  <c r="AV128"/>
  <c r="AU128"/>
  <c r="M128" s="1"/>
  <c r="AT128"/>
  <c r="I128"/>
  <c r="G128"/>
  <c r="L128" s="1"/>
  <c r="N128" s="1"/>
  <c r="D128"/>
  <c r="AY127"/>
  <c r="AX127"/>
  <c r="AW127"/>
  <c r="AV127"/>
  <c r="AU127"/>
  <c r="M127" s="1"/>
  <c r="AT127"/>
  <c r="I127"/>
  <c r="G127"/>
  <c r="L127" s="1"/>
  <c r="D127"/>
  <c r="AY126"/>
  <c r="AX126"/>
  <c r="AW126"/>
  <c r="AV126"/>
  <c r="AU126"/>
  <c r="M126" s="1"/>
  <c r="AT126"/>
  <c r="I126"/>
  <c r="G126"/>
  <c r="L126" s="1"/>
  <c r="N126" s="1"/>
  <c r="D126"/>
  <c r="AY125"/>
  <c r="AX125"/>
  <c r="AW125"/>
  <c r="AV125"/>
  <c r="AU125"/>
  <c r="M125" s="1"/>
  <c r="AT125"/>
  <c r="K125"/>
  <c r="I125"/>
  <c r="G125"/>
  <c r="D125"/>
  <c r="L125" s="1"/>
  <c r="AY124"/>
  <c r="AX124"/>
  <c r="AW124"/>
  <c r="AV124"/>
  <c r="AU124"/>
  <c r="AT124"/>
  <c r="M124"/>
  <c r="I124"/>
  <c r="G124"/>
  <c r="D124"/>
  <c r="L124" s="1"/>
  <c r="N124" s="1"/>
  <c r="AY123"/>
  <c r="AX123"/>
  <c r="AW123"/>
  <c r="AV123"/>
  <c r="AU123"/>
  <c r="AT123"/>
  <c r="M123"/>
  <c r="I123"/>
  <c r="G123"/>
  <c r="D123"/>
  <c r="L123" s="1"/>
  <c r="N123" s="1"/>
  <c r="AY122"/>
  <c r="AX122"/>
  <c r="AW122"/>
  <c r="AV122"/>
  <c r="AU122"/>
  <c r="AT122"/>
  <c r="M122"/>
  <c r="K122"/>
  <c r="I122"/>
  <c r="G122"/>
  <c r="D122"/>
  <c r="L122" s="1"/>
  <c r="N122" s="1"/>
  <c r="AY121"/>
  <c r="AX121"/>
  <c r="AW121"/>
  <c r="AV121"/>
  <c r="AU121"/>
  <c r="M121" s="1"/>
  <c r="AT121"/>
  <c r="K121"/>
  <c r="I121"/>
  <c r="G121"/>
  <c r="D121"/>
  <c r="L121" s="1"/>
  <c r="N121" s="1"/>
  <c r="AY120"/>
  <c r="AX120"/>
  <c r="AW120"/>
  <c r="AV120"/>
  <c r="AU120"/>
  <c r="AT120"/>
  <c r="M120"/>
  <c r="K120"/>
  <c r="I120"/>
  <c r="G120"/>
  <c r="D120"/>
  <c r="L120" s="1"/>
  <c r="N120" s="1"/>
  <c r="CS119"/>
  <c r="CR119"/>
  <c r="AY119"/>
  <c r="AX119"/>
  <c r="AW119"/>
  <c r="AV119"/>
  <c r="AU119"/>
  <c r="M119" s="1"/>
  <c r="AT119"/>
  <c r="K119"/>
  <c r="I119"/>
  <c r="G119"/>
  <c r="D119"/>
  <c r="L119" s="1"/>
  <c r="AY118"/>
  <c r="AX118"/>
  <c r="AW118"/>
  <c r="AV118"/>
  <c r="AU118"/>
  <c r="AT118"/>
  <c r="M118"/>
  <c r="K118"/>
  <c r="I118"/>
  <c r="G118"/>
  <c r="D118"/>
  <c r="L118" s="1"/>
  <c r="N118" s="1"/>
  <c r="AY117"/>
  <c r="AX117"/>
  <c r="AW117"/>
  <c r="AV117"/>
  <c r="AU117"/>
  <c r="M117" s="1"/>
  <c r="AT117"/>
  <c r="I117"/>
  <c r="G117"/>
  <c r="L117" s="1"/>
  <c r="N117" s="1"/>
  <c r="D117"/>
  <c r="AY116"/>
  <c r="AX116"/>
  <c r="AW116"/>
  <c r="AV116"/>
  <c r="AU116"/>
  <c r="M116" s="1"/>
  <c r="AT116"/>
  <c r="I116"/>
  <c r="G116"/>
  <c r="L116" s="1"/>
  <c r="D116"/>
  <c r="CQ115"/>
  <c r="AY115"/>
  <c r="AX115"/>
  <c r="AW115"/>
  <c r="AV115"/>
  <c r="AU115"/>
  <c r="AT115"/>
  <c r="M115" s="1"/>
  <c r="AS115"/>
  <c r="K115"/>
  <c r="I115"/>
  <c r="G115"/>
  <c r="D115"/>
  <c r="L115" s="1"/>
  <c r="N115" s="1"/>
  <c r="CR114"/>
  <c r="CQ114"/>
  <c r="AY114"/>
  <c r="AX114"/>
  <c r="AW114"/>
  <c r="AV114"/>
  <c r="AU114"/>
  <c r="AT114"/>
  <c r="M114" s="1"/>
  <c r="AS114"/>
  <c r="K114"/>
  <c r="I114"/>
  <c r="G114"/>
  <c r="D114"/>
  <c r="L114" s="1"/>
  <c r="CP113"/>
  <c r="AY113"/>
  <c r="AX113"/>
  <c r="AW113"/>
  <c r="AV113"/>
  <c r="AU113"/>
  <c r="AT113"/>
  <c r="AS113"/>
  <c r="M113" s="1"/>
  <c r="AR113"/>
  <c r="I113"/>
  <c r="G113"/>
  <c r="L113" s="1"/>
  <c r="N113" s="1"/>
  <c r="D113"/>
  <c r="CP112"/>
  <c r="AY112"/>
  <c r="AX112"/>
  <c r="AW112"/>
  <c r="AV112"/>
  <c r="AU112"/>
  <c r="AT112"/>
  <c r="AS112"/>
  <c r="AR112"/>
  <c r="M112"/>
  <c r="K112"/>
  <c r="I112"/>
  <c r="G112"/>
  <c r="D112"/>
  <c r="L112" s="1"/>
  <c r="N112" s="1"/>
  <c r="CP111"/>
  <c r="CO111"/>
  <c r="CN111"/>
  <c r="M111"/>
  <c r="I111"/>
  <c r="G111"/>
  <c r="D111"/>
  <c r="L111" s="1"/>
  <c r="N111" s="1"/>
  <c r="CP110"/>
  <c r="CO110"/>
  <c r="CM110"/>
  <c r="CL110"/>
  <c r="AY110"/>
  <c r="AX110"/>
  <c r="AW110"/>
  <c r="AV110"/>
  <c r="AU110"/>
  <c r="AT110"/>
  <c r="AS110"/>
  <c r="AR110"/>
  <c r="AQ110"/>
  <c r="AP110"/>
  <c r="AO110"/>
  <c r="AN110"/>
  <c r="M110"/>
  <c r="K110"/>
  <c r="I110"/>
  <c r="G110"/>
  <c r="D110"/>
  <c r="L110" s="1"/>
  <c r="N110" s="1"/>
  <c r="CQ109"/>
  <c r="CP109"/>
  <c r="CN109"/>
  <c r="CM109"/>
  <c r="CL109"/>
  <c r="AY109"/>
  <c r="AX109"/>
  <c r="AW109"/>
  <c r="AV109"/>
  <c r="AU109"/>
  <c r="AT109"/>
  <c r="AS109"/>
  <c r="AR109"/>
  <c r="AQ109"/>
  <c r="AP109"/>
  <c r="AO109"/>
  <c r="AN109"/>
  <c r="M109"/>
  <c r="I109"/>
  <c r="G109"/>
  <c r="D109"/>
  <c r="L109" s="1"/>
  <c r="N109" s="1"/>
  <c r="CL108"/>
  <c r="AY108"/>
  <c r="AX108"/>
  <c r="AW108"/>
  <c r="AV108"/>
  <c r="AU108"/>
  <c r="AT108"/>
  <c r="AS108"/>
  <c r="AR108"/>
  <c r="AQ108"/>
  <c r="AP108"/>
  <c r="AO108"/>
  <c r="AN108"/>
  <c r="AM108"/>
  <c r="M108"/>
  <c r="I108"/>
  <c r="G108"/>
  <c r="D108"/>
  <c r="L108" s="1"/>
  <c r="N108" s="1"/>
  <c r="CP107"/>
  <c r="CM107"/>
  <c r="AY107"/>
  <c r="AX107"/>
  <c r="AW107"/>
  <c r="AV107"/>
  <c r="AU107"/>
  <c r="AT107"/>
  <c r="AS107"/>
  <c r="AR107"/>
  <c r="AQ107"/>
  <c r="AP107"/>
  <c r="AO107"/>
  <c r="AN107"/>
  <c r="M107"/>
  <c r="K107"/>
  <c r="I107"/>
  <c r="G107"/>
  <c r="D107"/>
  <c r="L107" s="1"/>
  <c r="N107" s="1"/>
  <c r="CQ106"/>
  <c r="CO106"/>
  <c r="CL106"/>
  <c r="AY106"/>
  <c r="AX106"/>
  <c r="AW106"/>
  <c r="AV106"/>
  <c r="AU106"/>
  <c r="AT106"/>
  <c r="AS106"/>
  <c r="AR106"/>
  <c r="AQ106"/>
  <c r="AP106"/>
  <c r="AO106"/>
  <c r="AN106"/>
  <c r="M106"/>
  <c r="I106"/>
  <c r="G106"/>
  <c r="D106"/>
  <c r="L106" s="1"/>
  <c r="N106" s="1"/>
  <c r="CL105"/>
  <c r="M105"/>
  <c r="K105"/>
  <c r="I105"/>
  <c r="G105"/>
  <c r="D105"/>
  <c r="L105" s="1"/>
  <c r="N105" s="1"/>
  <c r="CP104"/>
  <c r="AY104"/>
  <c r="AX104"/>
  <c r="AW104"/>
  <c r="AV104"/>
  <c r="AU104"/>
  <c r="AT104"/>
  <c r="AS104"/>
  <c r="AR104"/>
  <c r="AQ104"/>
  <c r="AP104"/>
  <c r="AO104"/>
  <c r="M104" s="1"/>
  <c r="AN104"/>
  <c r="I104"/>
  <c r="G104"/>
  <c r="L104" s="1"/>
  <c r="D104"/>
  <c r="CP103"/>
  <c r="CN103"/>
  <c r="AY103"/>
  <c r="AX103"/>
  <c r="AW103"/>
  <c r="AV103"/>
  <c r="AU103"/>
  <c r="AT103"/>
  <c r="AS103"/>
  <c r="AR103"/>
  <c r="AQ103"/>
  <c r="AP103"/>
  <c r="AO103"/>
  <c r="M103" s="1"/>
  <c r="AN103"/>
  <c r="I103"/>
  <c r="G103"/>
  <c r="L103" s="1"/>
  <c r="N103" s="1"/>
  <c r="D103"/>
  <c r="CM102"/>
  <c r="CL102"/>
  <c r="AY102"/>
  <c r="AX102"/>
  <c r="AW102"/>
  <c r="AV102"/>
  <c r="AU102"/>
  <c r="AT102"/>
  <c r="AS102"/>
  <c r="AR102"/>
  <c r="AQ102"/>
  <c r="AP102"/>
  <c r="AO102"/>
  <c r="M102" s="1"/>
  <c r="AN102"/>
  <c r="I102"/>
  <c r="G102"/>
  <c r="L102" s="1"/>
  <c r="D102"/>
  <c r="CM101"/>
  <c r="CL101"/>
  <c r="AY101"/>
  <c r="AX101"/>
  <c r="AW101"/>
  <c r="AV101"/>
  <c r="AU101"/>
  <c r="AT101"/>
  <c r="AS101"/>
  <c r="AR101"/>
  <c r="AQ101"/>
  <c r="AP101"/>
  <c r="AO101"/>
  <c r="M101" s="1"/>
  <c r="AN101"/>
  <c r="I101"/>
  <c r="G101"/>
  <c r="L101" s="1"/>
  <c r="N101" s="1"/>
  <c r="D101"/>
  <c r="AY100"/>
  <c r="AX100"/>
  <c r="AW100"/>
  <c r="AV100"/>
  <c r="AU100"/>
  <c r="AT100"/>
  <c r="AS100"/>
  <c r="AR100"/>
  <c r="AQ100"/>
  <c r="AP100"/>
  <c r="AO100"/>
  <c r="M100" s="1"/>
  <c r="AN100"/>
  <c r="I100"/>
  <c r="G100"/>
  <c r="L100" s="1"/>
  <c r="D100"/>
  <c r="CL99"/>
  <c r="AY99"/>
  <c r="AX99"/>
  <c r="AW99"/>
  <c r="AV99"/>
  <c r="AU99"/>
  <c r="AT99"/>
  <c r="AS99"/>
  <c r="AR99"/>
  <c r="AQ99"/>
  <c r="AP99"/>
  <c r="AO99"/>
  <c r="AN99"/>
  <c r="M99"/>
  <c r="I99"/>
  <c r="G99"/>
  <c r="D99"/>
  <c r="L99" s="1"/>
  <c r="N99" s="1"/>
  <c r="CN98"/>
  <c r="CL98"/>
  <c r="AY98"/>
  <c r="AX98"/>
  <c r="AW98"/>
  <c r="AV98"/>
  <c r="AU98"/>
  <c r="AT98"/>
  <c r="AS98"/>
  <c r="AR98"/>
  <c r="AQ98"/>
  <c r="AP98"/>
  <c r="AO98"/>
  <c r="AN98"/>
  <c r="M98"/>
  <c r="K98"/>
  <c r="I98"/>
  <c r="G98"/>
  <c r="D98"/>
  <c r="L98" s="1"/>
  <c r="N98" s="1"/>
  <c r="CP97"/>
  <c r="AY97"/>
  <c r="AX97"/>
  <c r="AW97"/>
  <c r="AV97"/>
  <c r="AU97"/>
  <c r="AT97"/>
  <c r="AS97"/>
  <c r="AR97"/>
  <c r="AQ97"/>
  <c r="AP97"/>
  <c r="AO97"/>
  <c r="AN97"/>
  <c r="M97"/>
  <c r="K97"/>
  <c r="I97"/>
  <c r="G97"/>
  <c r="D97"/>
  <c r="L97" s="1"/>
  <c r="N97" s="1"/>
  <c r="CQ96"/>
  <c r="CN96"/>
  <c r="CM96"/>
  <c r="AY96"/>
  <c r="AX96"/>
  <c r="AW96"/>
  <c r="AV96"/>
  <c r="AU96"/>
  <c r="AT96"/>
  <c r="AS96"/>
  <c r="AR96"/>
  <c r="AQ96"/>
  <c r="AP96"/>
  <c r="AO96"/>
  <c r="AN96"/>
  <c r="M96"/>
  <c r="I96"/>
  <c r="G96"/>
  <c r="D96"/>
  <c r="L96" s="1"/>
  <c r="N96" s="1"/>
  <c r="AY95"/>
  <c r="AX95"/>
  <c r="AW95"/>
  <c r="AV95"/>
  <c r="AU95"/>
  <c r="AT95"/>
  <c r="AS95"/>
  <c r="AR95"/>
  <c r="AQ95"/>
  <c r="AP95"/>
  <c r="AO95"/>
  <c r="AN95"/>
  <c r="M95"/>
  <c r="K95"/>
  <c r="I95"/>
  <c r="G95"/>
  <c r="D95"/>
  <c r="L95" s="1"/>
  <c r="N95" s="1"/>
  <c r="CN94"/>
  <c r="AY94"/>
  <c r="AX94"/>
  <c r="AW94"/>
  <c r="AV94"/>
  <c r="AU94"/>
  <c r="AT94"/>
  <c r="AS94"/>
  <c r="AR94"/>
  <c r="AQ94"/>
  <c r="AP94"/>
  <c r="AO94"/>
  <c r="AN94"/>
  <c r="M94"/>
  <c r="K94"/>
  <c r="I94"/>
  <c r="G94"/>
  <c r="D94"/>
  <c r="L94" s="1"/>
  <c r="N94" s="1"/>
  <c r="CP93"/>
  <c r="CO93"/>
  <c r="CN93"/>
  <c r="CL93"/>
  <c r="AY93"/>
  <c r="AX93"/>
  <c r="AW93"/>
  <c r="AV93"/>
  <c r="AU93"/>
  <c r="AT93"/>
  <c r="AS93"/>
  <c r="AR93"/>
  <c r="AQ93"/>
  <c r="AP93"/>
  <c r="AO93"/>
  <c r="M93" s="1"/>
  <c r="AN93"/>
  <c r="I93"/>
  <c r="G93"/>
  <c r="L93" s="1"/>
  <c r="N93" s="1"/>
  <c r="D93"/>
  <c r="CQ92"/>
  <c r="CM92"/>
  <c r="AY92"/>
  <c r="AX92"/>
  <c r="AW92"/>
  <c r="AV92"/>
  <c r="AU92"/>
  <c r="AT92"/>
  <c r="AS92"/>
  <c r="AR92"/>
  <c r="AQ92"/>
  <c r="AP92"/>
  <c r="AO92"/>
  <c r="AN92"/>
  <c r="AM92"/>
  <c r="AL92"/>
  <c r="AK92"/>
  <c r="M92" s="1"/>
  <c r="AJ92"/>
  <c r="I92"/>
  <c r="G92"/>
  <c r="L92" s="1"/>
  <c r="D92"/>
  <c r="CQ91"/>
  <c r="AS91"/>
  <c r="AR91"/>
  <c r="AQ91"/>
  <c r="AP91"/>
  <c r="AO91"/>
  <c r="AN91"/>
  <c r="M91"/>
  <c r="I91"/>
  <c r="G91"/>
  <c r="D91"/>
  <c r="L91" s="1"/>
  <c r="N91" s="1"/>
  <c r="CQ90"/>
  <c r="CP90"/>
  <c r="AY90"/>
  <c r="AX90"/>
  <c r="AW90"/>
  <c r="AV90"/>
  <c r="AU90"/>
  <c r="AT90"/>
  <c r="AS90"/>
  <c r="AR90"/>
  <c r="AQ90"/>
  <c r="AP90"/>
  <c r="AO90"/>
  <c r="AN90"/>
  <c r="M90"/>
  <c r="I90"/>
  <c r="G90"/>
  <c r="D90"/>
  <c r="L90" s="1"/>
  <c r="N90" s="1"/>
  <c r="CP89"/>
  <c r="CN89"/>
  <c r="CM89"/>
  <c r="AY89"/>
  <c r="AX89"/>
  <c r="AW89"/>
  <c r="AV89"/>
  <c r="AU89"/>
  <c r="AT89"/>
  <c r="AS89"/>
  <c r="AR89"/>
  <c r="AQ89"/>
  <c r="AP89"/>
  <c r="AO89"/>
  <c r="M89" s="1"/>
  <c r="AN89"/>
  <c r="I89"/>
  <c r="G89"/>
  <c r="L89" s="1"/>
  <c r="N89" s="1"/>
  <c r="D89"/>
  <c r="AY88"/>
  <c r="AX88"/>
  <c r="AW88"/>
  <c r="AV88"/>
  <c r="AU88"/>
  <c r="AT88"/>
  <c r="AS88"/>
  <c r="AR88"/>
  <c r="AQ88"/>
  <c r="AP88"/>
  <c r="AO88"/>
  <c r="M88" s="1"/>
  <c r="AN88"/>
  <c r="I88"/>
  <c r="G88"/>
  <c r="L88" s="1"/>
  <c r="D88"/>
  <c r="CO87"/>
  <c r="CM87"/>
  <c r="AY87"/>
  <c r="AX87"/>
  <c r="AW87"/>
  <c r="AV87"/>
  <c r="AU87"/>
  <c r="AT87"/>
  <c r="AS87"/>
  <c r="AR87"/>
  <c r="AQ87"/>
  <c r="AP87"/>
  <c r="AO87"/>
  <c r="M87" s="1"/>
  <c r="AN87"/>
  <c r="I87"/>
  <c r="G87"/>
  <c r="L87" s="1"/>
  <c r="N87" s="1"/>
  <c r="D87"/>
  <c r="AY86"/>
  <c r="AX86"/>
  <c r="AW86"/>
  <c r="AV86"/>
  <c r="AU86"/>
  <c r="AT86"/>
  <c r="AS86"/>
  <c r="AR86"/>
  <c r="AQ86"/>
  <c r="AP86"/>
  <c r="AO86"/>
  <c r="M86" s="1"/>
  <c r="AN86"/>
  <c r="I86"/>
  <c r="G86"/>
  <c r="L86" s="1"/>
  <c r="D86"/>
  <c r="CP85"/>
  <c r="CO85"/>
  <c r="CN85"/>
  <c r="AY85"/>
  <c r="AX85"/>
  <c r="AW85"/>
  <c r="AV85"/>
  <c r="AU85"/>
  <c r="AT85"/>
  <c r="AS85"/>
  <c r="AR85"/>
  <c r="AQ85"/>
  <c r="AP85"/>
  <c r="AO85"/>
  <c r="AN85"/>
  <c r="M85"/>
  <c r="I85"/>
  <c r="G85"/>
  <c r="D85"/>
  <c r="L85" s="1"/>
  <c r="N85" s="1"/>
  <c r="CM84"/>
  <c r="AY84"/>
  <c r="AX84"/>
  <c r="AW84"/>
  <c r="AV84"/>
  <c r="AU84"/>
  <c r="AT84"/>
  <c r="AS84"/>
  <c r="AR84"/>
  <c r="AQ84"/>
  <c r="AP84"/>
  <c r="AO84"/>
  <c r="M84" s="1"/>
  <c r="AN84"/>
  <c r="K84"/>
  <c r="I84"/>
  <c r="G84"/>
  <c r="D84"/>
  <c r="L84" s="1"/>
  <c r="N84" s="1"/>
  <c r="CQ83"/>
  <c r="CP83"/>
  <c r="AY83"/>
  <c r="AX83"/>
  <c r="AW83"/>
  <c r="AV83"/>
  <c r="AU83"/>
  <c r="AT83"/>
  <c r="AS83"/>
  <c r="AR83"/>
  <c r="AQ83"/>
  <c r="AP83"/>
  <c r="AO83"/>
  <c r="AN83"/>
  <c r="M83"/>
  <c r="I83"/>
  <c r="G83"/>
  <c r="D83"/>
  <c r="L83" s="1"/>
  <c r="N83" s="1"/>
  <c r="CO82"/>
  <c r="CN82"/>
  <c r="AY82"/>
  <c r="AX82"/>
  <c r="AW82"/>
  <c r="AV82"/>
  <c r="AU82"/>
  <c r="AT82"/>
  <c r="AS82"/>
  <c r="AR82"/>
  <c r="AQ82"/>
  <c r="AP82"/>
  <c r="AO82"/>
  <c r="AN82"/>
  <c r="M82"/>
  <c r="I82"/>
  <c r="G82"/>
  <c r="D82"/>
  <c r="L82" s="1"/>
  <c r="N82" s="1"/>
  <c r="CP81"/>
  <c r="CM81"/>
  <c r="M81" s="1"/>
  <c r="AR81"/>
  <c r="K81"/>
  <c r="I81"/>
  <c r="G81"/>
  <c r="D81"/>
  <c r="L81" s="1"/>
  <c r="CO80"/>
  <c r="CN80"/>
  <c r="AU80"/>
  <c r="AT80"/>
  <c r="AS80"/>
  <c r="AR80"/>
  <c r="M80" s="1"/>
  <c r="AQ80"/>
  <c r="I80"/>
  <c r="G80"/>
  <c r="L80" s="1"/>
  <c r="N80" s="1"/>
  <c r="D80"/>
  <c r="CP79"/>
  <c r="CM79"/>
  <c r="AR79"/>
  <c r="M79"/>
  <c r="I79"/>
  <c r="G79"/>
  <c r="D79"/>
  <c r="L79" s="1"/>
  <c r="N79" s="1"/>
  <c r="EI78"/>
  <c r="EH78"/>
  <c r="EG78"/>
  <c r="EF78"/>
  <c r="EE78"/>
  <c r="ED78"/>
  <c r="EC78"/>
  <c r="EC311" s="1"/>
  <c r="EB78"/>
  <c r="EB311" s="1"/>
  <c r="EA78"/>
  <c r="EA311" s="1"/>
  <c r="DZ78"/>
  <c r="DZ311" s="1"/>
  <c r="DY78"/>
  <c r="DX78"/>
  <c r="M78" s="1"/>
  <c r="CL78"/>
  <c r="K78"/>
  <c r="I78"/>
  <c r="G78"/>
  <c r="D78"/>
  <c r="L78" s="1"/>
  <c r="CN77"/>
  <c r="CM77"/>
  <c r="CL77"/>
  <c r="AY77"/>
  <c r="AX77"/>
  <c r="AW77"/>
  <c r="AV77"/>
  <c r="AU77"/>
  <c r="AT77"/>
  <c r="AS77"/>
  <c r="AR77"/>
  <c r="AQ77"/>
  <c r="AP77"/>
  <c r="AO77"/>
  <c r="M77" s="1"/>
  <c r="AN77"/>
  <c r="I77"/>
  <c r="G77"/>
  <c r="L77" s="1"/>
  <c r="N77" s="1"/>
  <c r="D77"/>
  <c r="CO76"/>
  <c r="CL76"/>
  <c r="AY76"/>
  <c r="AX76"/>
  <c r="AW76"/>
  <c r="AV76"/>
  <c r="AU76"/>
  <c r="AT76"/>
  <c r="AS76"/>
  <c r="AR76"/>
  <c r="AQ76"/>
  <c r="AP76"/>
  <c r="AO76"/>
  <c r="AN76"/>
  <c r="AM76"/>
  <c r="M76"/>
  <c r="I76"/>
  <c r="G76"/>
  <c r="D76"/>
  <c r="L76" s="1"/>
  <c r="N76" s="1"/>
  <c r="CQ75"/>
  <c r="CP75"/>
  <c r="CM75"/>
  <c r="CL75"/>
  <c r="CK75"/>
  <c r="AY75"/>
  <c r="AX75"/>
  <c r="AW75"/>
  <c r="AV75"/>
  <c r="AU75"/>
  <c r="AT75"/>
  <c r="AS75"/>
  <c r="AR75"/>
  <c r="AQ75"/>
  <c r="AP75"/>
  <c r="AO75"/>
  <c r="AN75"/>
  <c r="AM75"/>
  <c r="M75"/>
  <c r="K75"/>
  <c r="I75"/>
  <c r="G75"/>
  <c r="D75"/>
  <c r="L75" s="1"/>
  <c r="N75" s="1"/>
  <c r="CQ74"/>
  <c r="CP74"/>
  <c r="CO74"/>
  <c r="CM74"/>
  <c r="CL74"/>
  <c r="CK74"/>
  <c r="AS74"/>
  <c r="AR74"/>
  <c r="AO74"/>
  <c r="M74"/>
  <c r="I74"/>
  <c r="G74"/>
  <c r="D74"/>
  <c r="L74" s="1"/>
  <c r="N74" s="1"/>
  <c r="CO73"/>
  <c r="CN73"/>
  <c r="CM73"/>
  <c r="I73"/>
  <c r="D73"/>
  <c r="CQ72"/>
  <c r="CP72"/>
  <c r="CO72"/>
  <c r="CN72"/>
  <c r="CM72"/>
  <c r="CL72"/>
  <c r="CJ72"/>
  <c r="CI72"/>
  <c r="CH72"/>
  <c r="AS72"/>
  <c r="AR72"/>
  <c r="AQ72"/>
  <c r="AP72"/>
  <c r="AM72"/>
  <c r="AL72"/>
  <c r="AK72"/>
  <c r="AJ72"/>
  <c r="M72"/>
  <c r="I72"/>
  <c r="G72"/>
  <c r="D72"/>
  <c r="L72" s="1"/>
  <c r="N72" s="1"/>
  <c r="CP71"/>
  <c r="CL71"/>
  <c r="CK71"/>
  <c r="AY71"/>
  <c r="AX71"/>
  <c r="AW71"/>
  <c r="AV71"/>
  <c r="AU71"/>
  <c r="AT71"/>
  <c r="AS71"/>
  <c r="AR71"/>
  <c r="AQ71"/>
  <c r="AP71"/>
  <c r="AO71"/>
  <c r="AN71"/>
  <c r="AM71"/>
  <c r="AL71"/>
  <c r="AK71"/>
  <c r="M71" s="1"/>
  <c r="AJ71"/>
  <c r="I71"/>
  <c r="G71"/>
  <c r="L71" s="1"/>
  <c r="D71"/>
  <c r="CP70"/>
  <c r="CO70"/>
  <c r="CM70"/>
  <c r="CK70"/>
  <c r="CJ70"/>
  <c r="CI70"/>
  <c r="CH70"/>
  <c r="AS70"/>
  <c r="AQ70"/>
  <c r="M70"/>
  <c r="I70"/>
  <c r="G70"/>
  <c r="D70"/>
  <c r="L70" s="1"/>
  <c r="N70" s="1"/>
  <c r="CQ69"/>
  <c r="CM69"/>
  <c r="CJ69"/>
  <c r="CI69"/>
  <c r="CH69"/>
  <c r="CG69"/>
  <c r="AY69"/>
  <c r="AX69"/>
  <c r="AW69"/>
  <c r="AV69"/>
  <c r="AU69"/>
  <c r="AT69"/>
  <c r="AS69"/>
  <c r="AR69"/>
  <c r="AQ69"/>
  <c r="AP69"/>
  <c r="AO69"/>
  <c r="AN69"/>
  <c r="AM69"/>
  <c r="AL69"/>
  <c r="AK69"/>
  <c r="AJ69"/>
  <c r="M69" s="1"/>
  <c r="AI69"/>
  <c r="I69"/>
  <c r="G69"/>
  <c r="L69" s="1"/>
  <c r="N69" s="1"/>
  <c r="D69"/>
  <c r="CQ68"/>
  <c r="CP68"/>
  <c r="CN68"/>
  <c r="CJ68"/>
  <c r="CI68"/>
  <c r="CH68"/>
  <c r="AY68"/>
  <c r="AX68"/>
  <c r="AW68"/>
  <c r="AV68"/>
  <c r="AU68"/>
  <c r="AT68"/>
  <c r="AS68"/>
  <c r="AR68"/>
  <c r="AQ68"/>
  <c r="AP68"/>
  <c r="AO68"/>
  <c r="AN68"/>
  <c r="AM68"/>
  <c r="AL68"/>
  <c r="AK68"/>
  <c r="AJ68"/>
  <c r="AI68"/>
  <c r="M68"/>
  <c r="I68"/>
  <c r="G68"/>
  <c r="D68"/>
  <c r="L68" s="1"/>
  <c r="N68" s="1"/>
  <c r="CP67"/>
  <c r="CL67"/>
  <c r="CK67"/>
  <c r="CI67"/>
  <c r="CH67"/>
  <c r="AY67"/>
  <c r="AX67"/>
  <c r="AW67"/>
  <c r="AV67"/>
  <c r="AU67"/>
  <c r="AT67"/>
  <c r="AS67"/>
  <c r="AR67"/>
  <c r="AQ67"/>
  <c r="AP67"/>
  <c r="AO67"/>
  <c r="AN67"/>
  <c r="AM67"/>
  <c r="AL67"/>
  <c r="AK67"/>
  <c r="AJ67"/>
  <c r="AI67"/>
  <c r="M67"/>
  <c r="I67"/>
  <c r="G67"/>
  <c r="D67"/>
  <c r="L67" s="1"/>
  <c r="N67" s="1"/>
  <c r="CP66"/>
  <c r="CO66"/>
  <c r="CM66"/>
  <c r="CJ66"/>
  <c r="M66"/>
  <c r="I66"/>
  <c r="G66"/>
  <c r="D66"/>
  <c r="L66" s="1"/>
  <c r="N66" s="1"/>
  <c r="CP65"/>
  <c r="CK65"/>
  <c r="CJ65"/>
  <c r="CI65"/>
  <c r="CF65"/>
  <c r="AR65"/>
  <c r="M65" s="1"/>
  <c r="AM65"/>
  <c r="I65"/>
  <c r="G65"/>
  <c r="L65" s="1"/>
  <c r="D65"/>
  <c r="CG64"/>
  <c r="AI64"/>
  <c r="AH64"/>
  <c r="M64"/>
  <c r="I64"/>
  <c r="G64"/>
  <c r="D64"/>
  <c r="L64" s="1"/>
  <c r="N64" s="1"/>
  <c r="CQ63"/>
  <c r="CP63"/>
  <c r="CI63"/>
  <c r="AS63"/>
  <c r="M63" s="1"/>
  <c r="AR63"/>
  <c r="I63"/>
  <c r="G63"/>
  <c r="L63" s="1"/>
  <c r="N63" s="1"/>
  <c r="D63"/>
  <c r="CP62"/>
  <c r="CO62"/>
  <c r="CN62"/>
  <c r="CK62"/>
  <c r="CJ62"/>
  <c r="CH62"/>
  <c r="CG62"/>
  <c r="AM62"/>
  <c r="AI62"/>
  <c r="M62"/>
  <c r="I62"/>
  <c r="G62"/>
  <c r="D62"/>
  <c r="L62" s="1"/>
  <c r="N62" s="1"/>
  <c r="CR61"/>
  <c r="CQ61"/>
  <c r="CP61"/>
  <c r="CO61"/>
  <c r="CN61"/>
  <c r="CM61"/>
  <c r="CJ61"/>
  <c r="CI61"/>
  <c r="AT61"/>
  <c r="AS61"/>
  <c r="AR61"/>
  <c r="AQ61"/>
  <c r="AM61"/>
  <c r="AK61"/>
  <c r="M61"/>
  <c r="I61"/>
  <c r="G61"/>
  <c r="D61"/>
  <c r="L61" s="1"/>
  <c r="N61" s="1"/>
  <c r="CP60"/>
  <c r="CN60"/>
  <c r="M60"/>
  <c r="K60"/>
  <c r="I60"/>
  <c r="G60"/>
  <c r="D60"/>
  <c r="L60" s="1"/>
  <c r="N60" s="1"/>
  <c r="CP59"/>
  <c r="CL59"/>
  <c r="CK59"/>
  <c r="M59" s="1"/>
  <c r="AR59"/>
  <c r="I59"/>
  <c r="G59"/>
  <c r="L59" s="1"/>
  <c r="D59"/>
  <c r="CQ58"/>
  <c r="CP58"/>
  <c r="CO58"/>
  <c r="CM58"/>
  <c r="CL58"/>
  <c r="CK58"/>
  <c r="CG58"/>
  <c r="AS58"/>
  <c r="AR58"/>
  <c r="M58"/>
  <c r="I58"/>
  <c r="G58"/>
  <c r="D58"/>
  <c r="L58" s="1"/>
  <c r="N58" s="1"/>
  <c r="CP57"/>
  <c r="CM57"/>
  <c r="CI57"/>
  <c r="CG57"/>
  <c r="M57"/>
  <c r="K57"/>
  <c r="I57"/>
  <c r="G57"/>
  <c r="D57"/>
  <c r="L57" s="1"/>
  <c r="N57" s="1"/>
  <c r="CP56"/>
  <c r="CM56"/>
  <c r="CJ56"/>
  <c r="CI56"/>
  <c r="CF56"/>
  <c r="M56" s="1"/>
  <c r="AL56"/>
  <c r="K56"/>
  <c r="I56"/>
  <c r="G56"/>
  <c r="D56"/>
  <c r="L56" s="1"/>
  <c r="N56" s="1"/>
  <c r="CN55"/>
  <c r="CJ55"/>
  <c r="CH55"/>
  <c r="CF55"/>
  <c r="AS55"/>
  <c r="AR55"/>
  <c r="AP55"/>
  <c r="AM55"/>
  <c r="AL55"/>
  <c r="AG55"/>
  <c r="M55"/>
  <c r="I55"/>
  <c r="G55"/>
  <c r="D55"/>
  <c r="L55" s="1"/>
  <c r="N55" s="1"/>
  <c r="CP54"/>
  <c r="CF54"/>
  <c r="CE54"/>
  <c r="AN54"/>
  <c r="M54"/>
  <c r="I54"/>
  <c r="G54"/>
  <c r="D54"/>
  <c r="L54" s="1"/>
  <c r="N54" s="1"/>
  <c r="CO53"/>
  <c r="CN53"/>
  <c r="CM53"/>
  <c r="CL53"/>
  <c r="CK53"/>
  <c r="CJ53"/>
  <c r="CI53"/>
  <c r="CH53"/>
  <c r="CG53"/>
  <c r="CF53"/>
  <c r="CE53"/>
  <c r="CC53"/>
  <c r="AN53"/>
  <c r="AM53"/>
  <c r="AJ53"/>
  <c r="AI53"/>
  <c r="AH53"/>
  <c r="AE53"/>
  <c r="M53"/>
  <c r="I53"/>
  <c r="G53"/>
  <c r="D53"/>
  <c r="L53" s="1"/>
  <c r="N53" s="1"/>
  <c r="EE52"/>
  <c r="EE311" s="1"/>
  <c r="ED52"/>
  <c r="ED311" s="1"/>
  <c r="CO52"/>
  <c r="CM52"/>
  <c r="CL52"/>
  <c r="CJ52"/>
  <c r="CI52"/>
  <c r="CH52"/>
  <c r="CE52"/>
  <c r="CD52"/>
  <c r="AO52"/>
  <c r="AM52"/>
  <c r="AL52"/>
  <c r="AK52"/>
  <c r="M52" s="1"/>
  <c r="AG52"/>
  <c r="K52"/>
  <c r="I52"/>
  <c r="G52"/>
  <c r="D52"/>
  <c r="L52" s="1"/>
  <c r="CO51"/>
  <c r="CJ51"/>
  <c r="M51" s="1"/>
  <c r="CC51"/>
  <c r="I51"/>
  <c r="G51"/>
  <c r="L51" s="1"/>
  <c r="N51" s="1"/>
  <c r="D51"/>
  <c r="CQ50"/>
  <c r="CP50"/>
  <c r="CO50"/>
  <c r="CK50"/>
  <c r="CG50"/>
  <c r="CD50"/>
  <c r="CC50"/>
  <c r="CB50"/>
  <c r="AS50"/>
  <c r="AG50"/>
  <c r="AF50"/>
  <c r="M50"/>
  <c r="I50"/>
  <c r="G50"/>
  <c r="D50"/>
  <c r="L50" s="1"/>
  <c r="N50" s="1"/>
  <c r="CP49"/>
  <c r="CO49"/>
  <c r="CJ49"/>
  <c r="CF49"/>
  <c r="CE49"/>
  <c r="CD49"/>
  <c r="CB49"/>
  <c r="AY49"/>
  <c r="AX49"/>
  <c r="AW49"/>
  <c r="AV49"/>
  <c r="AU49"/>
  <c r="AT49"/>
  <c r="AS49"/>
  <c r="AR49"/>
  <c r="AQ49"/>
  <c r="AP49"/>
  <c r="AO49"/>
  <c r="AN49"/>
  <c r="AM49"/>
  <c r="AL49"/>
  <c r="AK49"/>
  <c r="AJ49"/>
  <c r="AI49"/>
  <c r="M49" s="1"/>
  <c r="AG49"/>
  <c r="I49"/>
  <c r="G49"/>
  <c r="L49" s="1"/>
  <c r="D49"/>
  <c r="CJ48"/>
  <c r="M48" s="1"/>
  <c r="CG48"/>
  <c r="L48"/>
  <c r="N48" s="1"/>
  <c r="I48"/>
  <c r="CP47"/>
  <c r="CO47"/>
  <c r="CN47"/>
  <c r="CK47"/>
  <c r="CJ47"/>
  <c r="CF47"/>
  <c r="CE47"/>
  <c r="CD47"/>
  <c r="CC47"/>
  <c r="BZ47"/>
  <c r="AS47"/>
  <c r="AR47"/>
  <c r="AM47"/>
  <c r="AG47"/>
  <c r="AB47"/>
  <c r="M47"/>
  <c r="I47"/>
  <c r="G47"/>
  <c r="D47"/>
  <c r="L47" s="1"/>
  <c r="N47" s="1"/>
  <c r="DQ46"/>
  <c r="DP46"/>
  <c r="CQ46"/>
  <c r="CP46"/>
  <c r="CO46"/>
  <c r="CN46"/>
  <c r="CM46"/>
  <c r="CL46"/>
  <c r="CK46"/>
  <c r="CI46"/>
  <c r="CF46"/>
  <c r="CE46"/>
  <c r="CD46"/>
  <c r="CC46"/>
  <c r="CB46"/>
  <c r="BZ46"/>
  <c r="AS46"/>
  <c r="AK46"/>
  <c r="AG46"/>
  <c r="AF46"/>
  <c r="M46" s="1"/>
  <c r="AE46"/>
  <c r="K46"/>
  <c r="I46"/>
  <c r="G46"/>
  <c r="D46"/>
  <c r="L46" s="1"/>
  <c r="N46" s="1"/>
  <c r="DQ45"/>
  <c r="DP45"/>
  <c r="DO45"/>
  <c r="CN45"/>
  <c r="CJ45"/>
  <c r="CE45"/>
  <c r="CD45"/>
  <c r="CC45"/>
  <c r="BZ45"/>
  <c r="AG45"/>
  <c r="AF45"/>
  <c r="AE45"/>
  <c r="M45" s="1"/>
  <c r="AB45"/>
  <c r="K45"/>
  <c r="I45"/>
  <c r="G45"/>
  <c r="D45"/>
  <c r="L45" s="1"/>
  <c r="DQ44"/>
  <c r="DP44"/>
  <c r="DO44"/>
  <c r="DN44"/>
  <c r="DM44"/>
  <c r="DL44"/>
  <c r="CO44"/>
  <c r="CM44"/>
  <c r="CK44"/>
  <c r="CJ44"/>
  <c r="CI44"/>
  <c r="CG44"/>
  <c r="CF44"/>
  <c r="CE44"/>
  <c r="CD44"/>
  <c r="CC44"/>
  <c r="CA44"/>
  <c r="AK44"/>
  <c r="M44" s="1"/>
  <c r="AI44"/>
  <c r="K44"/>
  <c r="I44"/>
  <c r="G44"/>
  <c r="D44"/>
  <c r="L44" s="1"/>
  <c r="N44" s="1"/>
  <c r="CQ43"/>
  <c r="CP43"/>
  <c r="CO43"/>
  <c r="CN43"/>
  <c r="CL43"/>
  <c r="CK43"/>
  <c r="CJ43"/>
  <c r="CI43"/>
  <c r="CG43"/>
  <c r="CD43"/>
  <c r="CC43"/>
  <c r="CA43"/>
  <c r="AY43"/>
  <c r="AX43"/>
  <c r="AX311" s="1"/>
  <c r="AW43"/>
  <c r="AV43"/>
  <c r="AV311" s="1"/>
  <c r="AU43"/>
  <c r="AT43"/>
  <c r="AT311" s="1"/>
  <c r="AS43"/>
  <c r="AR43"/>
  <c r="AQ43"/>
  <c r="AP43"/>
  <c r="AO43"/>
  <c r="AN43"/>
  <c r="AM43"/>
  <c r="AL43"/>
  <c r="AK43"/>
  <c r="AJ43"/>
  <c r="AI43"/>
  <c r="AG43"/>
  <c r="M43"/>
  <c r="I43"/>
  <c r="G43"/>
  <c r="D43"/>
  <c r="L43" s="1"/>
  <c r="N43" s="1"/>
  <c r="CR42"/>
  <c r="CK42"/>
  <c r="CF42"/>
  <c r="CE42"/>
  <c r="CC42"/>
  <c r="AG42"/>
  <c r="M42"/>
  <c r="I42"/>
  <c r="G42"/>
  <c r="D42"/>
  <c r="L42" s="1"/>
  <c r="N42" s="1"/>
  <c r="DQ41"/>
  <c r="DP41"/>
  <c r="CP41"/>
  <c r="CN41"/>
  <c r="CM41"/>
  <c r="CI41"/>
  <c r="CG41"/>
  <c r="CF41"/>
  <c r="CD41"/>
  <c r="CC41"/>
  <c r="CB41"/>
  <c r="CA41"/>
  <c r="AS41"/>
  <c r="AR41"/>
  <c r="AP41"/>
  <c r="AM41"/>
  <c r="AK41"/>
  <c r="AH41"/>
  <c r="AG41"/>
  <c r="AF41"/>
  <c r="M41" s="1"/>
  <c r="AE41"/>
  <c r="K41"/>
  <c r="I41"/>
  <c r="G41"/>
  <c r="D41"/>
  <c r="L41" s="1"/>
  <c r="DQ40"/>
  <c r="CQ40"/>
  <c r="CP40"/>
  <c r="CO40"/>
  <c r="CN40"/>
  <c r="CK40"/>
  <c r="CC40"/>
  <c r="CA40"/>
  <c r="BZ40"/>
  <c r="AS40"/>
  <c r="AR40"/>
  <c r="AM40"/>
  <c r="M40" s="1"/>
  <c r="AG40"/>
  <c r="K40"/>
  <c r="I40"/>
  <c r="G40"/>
  <c r="D40"/>
  <c r="L40" s="1"/>
  <c r="N40" s="1"/>
  <c r="DQ39"/>
  <c r="CQ39"/>
  <c r="CP39"/>
  <c r="CN39"/>
  <c r="CM39"/>
  <c r="CJ39"/>
  <c r="CI39"/>
  <c r="CH39"/>
  <c r="CG39"/>
  <c r="CF39"/>
  <c r="CD39"/>
  <c r="CC39"/>
  <c r="CB39"/>
  <c r="BZ39"/>
  <c r="AS39"/>
  <c r="AR39"/>
  <c r="AP39"/>
  <c r="AM39"/>
  <c r="AG39"/>
  <c r="AE39"/>
  <c r="M39"/>
  <c r="K39"/>
  <c r="I39"/>
  <c r="G39"/>
  <c r="D39"/>
  <c r="L39" s="1"/>
  <c r="N39" s="1"/>
  <c r="DQ38"/>
  <c r="CQ38"/>
  <c r="CP38"/>
  <c r="CH38"/>
  <c r="CE38"/>
  <c r="CD38"/>
  <c r="CC38"/>
  <c r="CB38"/>
  <c r="AM38"/>
  <c r="AL38"/>
  <c r="AG38"/>
  <c r="M38"/>
  <c r="K38"/>
  <c r="I38"/>
  <c r="G38"/>
  <c r="D38"/>
  <c r="L38" s="1"/>
  <c r="N38" s="1"/>
  <c r="CN37"/>
  <c r="CD37"/>
  <c r="CC37"/>
  <c r="M37"/>
  <c r="I37"/>
  <c r="G37"/>
  <c r="D37"/>
  <c r="L37" s="1"/>
  <c r="N37" s="1"/>
  <c r="CP36"/>
  <c r="CO36"/>
  <c r="CJ36"/>
  <c r="CE36"/>
  <c r="CC36"/>
  <c r="BY36"/>
  <c r="M36"/>
  <c r="K36"/>
  <c r="I36"/>
  <c r="G36"/>
  <c r="D36"/>
  <c r="L36" s="1"/>
  <c r="N36" s="1"/>
  <c r="DQ35"/>
  <c r="CQ35"/>
  <c r="CP35"/>
  <c r="CN35"/>
  <c r="CJ35"/>
  <c r="CH35"/>
  <c r="CE35"/>
  <c r="CD35"/>
  <c r="CC35"/>
  <c r="CB35"/>
  <c r="BY35"/>
  <c r="AS35"/>
  <c r="AL35"/>
  <c r="AG35"/>
  <c r="AF35"/>
  <c r="M35" s="1"/>
  <c r="AE35"/>
  <c r="K35"/>
  <c r="I35"/>
  <c r="G35"/>
  <c r="D35"/>
  <c r="L35" s="1"/>
  <c r="CN34"/>
  <c r="CD34"/>
  <c r="CC34"/>
  <c r="CA34"/>
  <c r="M34" s="1"/>
  <c r="BY34"/>
  <c r="I34"/>
  <c r="G34"/>
  <c r="L34" s="1"/>
  <c r="N34" s="1"/>
  <c r="D34"/>
  <c r="CP33"/>
  <c r="CJ33"/>
  <c r="CD33"/>
  <c r="CA33"/>
  <c r="BZ33"/>
  <c r="M33"/>
  <c r="I33"/>
  <c r="G33"/>
  <c r="D33"/>
  <c r="L33" s="1"/>
  <c r="N33" s="1"/>
  <c r="EI32"/>
  <c r="EH32"/>
  <c r="EG32"/>
  <c r="EF32"/>
  <c r="DQ32"/>
  <c r="CN32"/>
  <c r="CJ32"/>
  <c r="CE32"/>
  <c r="CB32"/>
  <c r="BZ32"/>
  <c r="AG32"/>
  <c r="AB32"/>
  <c r="AB311" s="1"/>
  <c r="M32"/>
  <c r="K32"/>
  <c r="I32"/>
  <c r="G32"/>
  <c r="D32"/>
  <c r="DY31"/>
  <c r="DY311" s="1"/>
  <c r="DX31"/>
  <c r="DX311" s="1"/>
  <c r="CM31"/>
  <c r="CH31"/>
  <c r="CD31"/>
  <c r="CC31"/>
  <c r="BZ31"/>
  <c r="M31" s="1"/>
  <c r="AG31"/>
  <c r="K31"/>
  <c r="I31"/>
  <c r="G31"/>
  <c r="D31"/>
  <c r="L31" s="1"/>
  <c r="N31" s="1"/>
  <c r="CP30"/>
  <c r="CE30"/>
  <c r="BY30"/>
  <c r="AS30"/>
  <c r="AM30"/>
  <c r="AG30"/>
  <c r="M30"/>
  <c r="I30"/>
  <c r="G30"/>
  <c r="D30"/>
  <c r="L30" s="1"/>
  <c r="EI29"/>
  <c r="EI311" s="1"/>
  <c r="EH29"/>
  <c r="EH311" s="1"/>
  <c r="EG29"/>
  <c r="EG311" s="1"/>
  <c r="EF29"/>
  <c r="EF311" s="1"/>
  <c r="CP29"/>
  <c r="CN29"/>
  <c r="CJ29"/>
  <c r="CH29"/>
  <c r="CF29"/>
  <c r="CE29"/>
  <c r="CD29"/>
  <c r="CC29"/>
  <c r="CA29"/>
  <c r="AP29"/>
  <c r="AM29"/>
  <c r="AL29"/>
  <c r="M29" s="1"/>
  <c r="AG29"/>
  <c r="K29"/>
  <c r="I29"/>
  <c r="G29"/>
  <c r="D29"/>
  <c r="L29" s="1"/>
  <c r="N29" s="1"/>
  <c r="CQ28"/>
  <c r="CP28"/>
  <c r="CN28"/>
  <c r="CM28"/>
  <c r="CL28"/>
  <c r="CK28"/>
  <c r="CI28"/>
  <c r="CH28"/>
  <c r="CF28"/>
  <c r="CE28"/>
  <c r="CD28"/>
  <c r="CC28"/>
  <c r="CB28"/>
  <c r="CA28"/>
  <c r="AS28"/>
  <c r="AM28"/>
  <c r="M28" s="1"/>
  <c r="K28"/>
  <c r="I28"/>
  <c r="G28"/>
  <c r="D28"/>
  <c r="CP27"/>
  <c r="CO27"/>
  <c r="CN27"/>
  <c r="CJ27"/>
  <c r="CG27"/>
  <c r="CF27"/>
  <c r="CE27"/>
  <c r="CD27"/>
  <c r="CC27"/>
  <c r="M27" s="1"/>
  <c r="AG27"/>
  <c r="I27"/>
  <c r="G27"/>
  <c r="L27" s="1"/>
  <c r="N27" s="1"/>
  <c r="D27"/>
  <c r="DQ26"/>
  <c r="CN26"/>
  <c r="CM26"/>
  <c r="CK26"/>
  <c r="CJ26"/>
  <c r="CI26"/>
  <c r="CH26"/>
  <c r="CG26"/>
  <c r="CE26"/>
  <c r="CD26"/>
  <c r="CC26"/>
  <c r="BZ26"/>
  <c r="AP26"/>
  <c r="AM26"/>
  <c r="AH26"/>
  <c r="AG26"/>
  <c r="AE26"/>
  <c r="M26"/>
  <c r="K26"/>
  <c r="I26"/>
  <c r="G26"/>
  <c r="D26"/>
  <c r="L26" s="1"/>
  <c r="N26" s="1"/>
  <c r="DQ25"/>
  <c r="DO25"/>
  <c r="DO311" s="1"/>
  <c r="DN25"/>
  <c r="DN311" s="1"/>
  <c r="CQ25"/>
  <c r="CP25"/>
  <c r="CN25"/>
  <c r="CL25"/>
  <c r="CK25"/>
  <c r="CJ25"/>
  <c r="CI25"/>
  <c r="CF25"/>
  <c r="CE25"/>
  <c r="CD25"/>
  <c r="AS25"/>
  <c r="AK25"/>
  <c r="M25" s="1"/>
  <c r="AG25"/>
  <c r="K25"/>
  <c r="I25"/>
  <c r="G25"/>
  <c r="D25"/>
  <c r="L25" s="1"/>
  <c r="N25" s="1"/>
  <c r="CO24"/>
  <c r="CN24"/>
  <c r="CK24"/>
  <c r="CJ24"/>
  <c r="CI24"/>
  <c r="CG24"/>
  <c r="CF24"/>
  <c r="CE24"/>
  <c r="CC24"/>
  <c r="CA24"/>
  <c r="AP24"/>
  <c r="AK24"/>
  <c r="AH24"/>
  <c r="AG24"/>
  <c r="M24" s="1"/>
  <c r="K24"/>
  <c r="I24"/>
  <c r="G24"/>
  <c r="D24"/>
  <c r="CR23"/>
  <c r="CQ23"/>
  <c r="CP23"/>
  <c r="CJ23"/>
  <c r="CI23"/>
  <c r="CH23"/>
  <c r="CF23"/>
  <c r="CE23"/>
  <c r="CD23"/>
  <c r="CC23"/>
  <c r="CB23"/>
  <c r="CA23"/>
  <c r="BZ23"/>
  <c r="AS23"/>
  <c r="AR23"/>
  <c r="AP23"/>
  <c r="AL23"/>
  <c r="AJ23"/>
  <c r="AG23"/>
  <c r="M23" s="1"/>
  <c r="K23"/>
  <c r="I23"/>
  <c r="G23"/>
  <c r="D23"/>
  <c r="DQ22"/>
  <c r="DP22"/>
  <c r="CQ22"/>
  <c r="CM22"/>
  <c r="CJ22"/>
  <c r="CI22"/>
  <c r="CH22"/>
  <c r="CD22"/>
  <c r="CC22"/>
  <c r="BZ22"/>
  <c r="BY22"/>
  <c r="AM22"/>
  <c r="AG22"/>
  <c r="AF22"/>
  <c r="AE22"/>
  <c r="M22" s="1"/>
  <c r="K22"/>
  <c r="I22"/>
  <c r="G22"/>
  <c r="D22"/>
  <c r="CP21"/>
  <c r="CK21"/>
  <c r="CJ21"/>
  <c r="CG21"/>
  <c r="CF21"/>
  <c r="CE21"/>
  <c r="CD21"/>
  <c r="CC21"/>
  <c r="Y21"/>
  <c r="M21" s="1"/>
  <c r="I21"/>
  <c r="G21"/>
  <c r="D21"/>
  <c r="L21" s="1"/>
  <c r="DQ20"/>
  <c r="DP20"/>
  <c r="CO20"/>
  <c r="CN20"/>
  <c r="CM20"/>
  <c r="CK20"/>
  <c r="CJ20"/>
  <c r="CI20"/>
  <c r="CH20"/>
  <c r="CG20"/>
  <c r="CE20"/>
  <c r="CD20"/>
  <c r="CC20"/>
  <c r="CA20"/>
  <c r="BZ20"/>
  <c r="AP20"/>
  <c r="AM20"/>
  <c r="AL20"/>
  <c r="AG20"/>
  <c r="AF20"/>
  <c r="M20" s="1"/>
  <c r="AE20"/>
  <c r="K20"/>
  <c r="I20"/>
  <c r="G20"/>
  <c r="D20"/>
  <c r="L20" s="1"/>
  <c r="N20" s="1"/>
  <c r="CQ19"/>
  <c r="CP19"/>
  <c r="CL19"/>
  <c r="CK19"/>
  <c r="CJ19"/>
  <c r="CG19"/>
  <c r="CE19"/>
  <c r="CD19"/>
  <c r="AS19"/>
  <c r="AR19"/>
  <c r="AM19"/>
  <c r="AG19"/>
  <c r="M19" s="1"/>
  <c r="AF19"/>
  <c r="I19"/>
  <c r="G19"/>
  <c r="L19" s="1"/>
  <c r="N19" s="1"/>
  <c r="D19"/>
  <c r="DQ18"/>
  <c r="DL18"/>
  <c r="DL311" s="1"/>
  <c r="CQ18"/>
  <c r="CP18"/>
  <c r="CO18"/>
  <c r="CM18"/>
  <c r="CJ18"/>
  <c r="CI18"/>
  <c r="CH18"/>
  <c r="CD18"/>
  <c r="CC18"/>
  <c r="CB18"/>
  <c r="CA18"/>
  <c r="BZ18"/>
  <c r="AS18"/>
  <c r="AM18"/>
  <c r="AK18"/>
  <c r="AG18"/>
  <c r="AF18"/>
  <c r="M18" s="1"/>
  <c r="AD18"/>
  <c r="K18"/>
  <c r="I18"/>
  <c r="G18"/>
  <c r="D18"/>
  <c r="L18" s="1"/>
  <c r="N18" s="1"/>
  <c r="CP17"/>
  <c r="CO17"/>
  <c r="CN17"/>
  <c r="CL17"/>
  <c r="CJ17"/>
  <c r="CD17"/>
  <c r="CA17"/>
  <c r="BZ17"/>
  <c r="M17" s="1"/>
  <c r="AC17"/>
  <c r="K17"/>
  <c r="I17"/>
  <c r="G17"/>
  <c r="D17"/>
  <c r="L17" s="1"/>
  <c r="N17" s="1"/>
  <c r="CP16"/>
  <c r="CN16"/>
  <c r="CJ16"/>
  <c r="CD16"/>
  <c r="M16" s="1"/>
  <c r="CB16"/>
  <c r="K16"/>
  <c r="I16"/>
  <c r="G16"/>
  <c r="D16"/>
  <c r="L16" s="1"/>
  <c r="N16" s="1"/>
  <c r="CP15"/>
  <c r="CN15"/>
  <c r="CM15"/>
  <c r="CJ15"/>
  <c r="CF15"/>
  <c r="CE15"/>
  <c r="AS15"/>
  <c r="AR15"/>
  <c r="AP15"/>
  <c r="AL15"/>
  <c r="AH15"/>
  <c r="AG15"/>
  <c r="M15" s="1"/>
  <c r="AC15"/>
  <c r="I15"/>
  <c r="G15"/>
  <c r="L15" s="1"/>
  <c r="N15" s="1"/>
  <c r="D15"/>
  <c r="CO14"/>
  <c r="CN14"/>
  <c r="CK14"/>
  <c r="CJ14"/>
  <c r="CH14"/>
  <c r="CG14"/>
  <c r="CF14"/>
  <c r="CE14"/>
  <c r="CC14"/>
  <c r="CB14"/>
  <c r="AL14"/>
  <c r="AG14"/>
  <c r="Y14"/>
  <c r="M14" s="1"/>
  <c r="I14"/>
  <c r="G14"/>
  <c r="D14"/>
  <c r="L14" s="1"/>
  <c r="DQ13"/>
  <c r="CP13"/>
  <c r="CO13"/>
  <c r="CN13"/>
  <c r="CL13"/>
  <c r="CK13"/>
  <c r="CJ13"/>
  <c r="CI13"/>
  <c r="CH13"/>
  <c r="CG13"/>
  <c r="CE13"/>
  <c r="CC13"/>
  <c r="CB13"/>
  <c r="BZ13"/>
  <c r="BY13"/>
  <c r="BX13"/>
  <c r="BW13"/>
  <c r="BV13"/>
  <c r="AR13"/>
  <c r="AQ13"/>
  <c r="AM13"/>
  <c r="AK13"/>
  <c r="AK311" s="1"/>
  <c r="AI13"/>
  <c r="AG13"/>
  <c r="M13" s="1"/>
  <c r="K13"/>
  <c r="I13"/>
  <c r="G13"/>
  <c r="D13"/>
  <c r="CP12"/>
  <c r="CL12"/>
  <c r="CJ12"/>
  <c r="CI12"/>
  <c r="CA12"/>
  <c r="BZ12"/>
  <c r="BY12"/>
  <c r="BX12"/>
  <c r="BV12"/>
  <c r="BU12"/>
  <c r="BU311" s="1"/>
  <c r="BT12"/>
  <c r="BS12"/>
  <c r="I12"/>
  <c r="G12"/>
  <c r="L12" s="1"/>
  <c r="D12"/>
  <c r="CQ11"/>
  <c r="CP11"/>
  <c r="CN11"/>
  <c r="CL11"/>
  <c r="CE11"/>
  <c r="CB11"/>
  <c r="CA11"/>
  <c r="AS11"/>
  <c r="AR11"/>
  <c r="AP11"/>
  <c r="AN11"/>
  <c r="AG11"/>
  <c r="AC11"/>
  <c r="M11"/>
  <c r="I11"/>
  <c r="G11"/>
  <c r="D11"/>
  <c r="L11" s="1"/>
  <c r="DQ10"/>
  <c r="DP10"/>
  <c r="CP10"/>
  <c r="CO10"/>
  <c r="CE10"/>
  <c r="CD10"/>
  <c r="CC10"/>
  <c r="CB10"/>
  <c r="BZ10"/>
  <c r="AM10"/>
  <c r="AL10"/>
  <c r="AI10"/>
  <c r="AG10"/>
  <c r="AF10"/>
  <c r="AE10"/>
  <c r="AD10"/>
  <c r="AD311" s="1"/>
  <c r="Y10"/>
  <c r="V10"/>
  <c r="V311" s="1"/>
  <c r="M10"/>
  <c r="K10"/>
  <c r="I10"/>
  <c r="G10"/>
  <c r="D10"/>
  <c r="L10" s="1"/>
  <c r="N10" s="1"/>
  <c r="CP9"/>
  <c r="CN9"/>
  <c r="CE9"/>
  <c r="CB9"/>
  <c r="BZ9"/>
  <c r="BW9"/>
  <c r="AS9"/>
  <c r="AR9"/>
  <c r="AA9"/>
  <c r="M9" s="1"/>
  <c r="Y9"/>
  <c r="I9"/>
  <c r="G9"/>
  <c r="L9" s="1"/>
  <c r="N9" s="1"/>
  <c r="D9"/>
  <c r="CP8"/>
  <c r="CM8"/>
  <c r="CI8"/>
  <c r="CF8"/>
  <c r="CE8"/>
  <c r="BZ8"/>
  <c r="AO8"/>
  <c r="AO311" s="1"/>
  <c r="K8"/>
  <c r="I8"/>
  <c r="G8"/>
  <c r="D8"/>
  <c r="CQ7"/>
  <c r="CP7"/>
  <c r="CO7"/>
  <c r="CN7"/>
  <c r="CL7"/>
  <c r="CF7"/>
  <c r="CE7"/>
  <c r="CC7"/>
  <c r="AS7"/>
  <c r="AQ7"/>
  <c r="AN7"/>
  <c r="AN311" s="1"/>
  <c r="AH7"/>
  <c r="AG7"/>
  <c r="M7" s="1"/>
  <c r="AE7"/>
  <c r="I7"/>
  <c r="G7"/>
  <c r="D7"/>
  <c r="L7" s="1"/>
  <c r="N7" s="1"/>
  <c r="CW6"/>
  <c r="CW311" s="1"/>
  <c r="CV6"/>
  <c r="CV311" s="1"/>
  <c r="CU6"/>
  <c r="CU311" s="1"/>
  <c r="CT6"/>
  <c r="CT311" s="1"/>
  <c r="CS6"/>
  <c r="CS311" s="1"/>
  <c r="CR6"/>
  <c r="CR311" s="1"/>
  <c r="CQ6"/>
  <c r="CP6"/>
  <c r="CO6"/>
  <c r="CN6"/>
  <c r="CM6"/>
  <c r="CL6"/>
  <c r="CK6"/>
  <c r="CJ6"/>
  <c r="CI6"/>
  <c r="CH6"/>
  <c r="CG6"/>
  <c r="CF6"/>
  <c r="CE6"/>
  <c r="CD6"/>
  <c r="CC6"/>
  <c r="CB6"/>
  <c r="CA6"/>
  <c r="BY6"/>
  <c r="BX6"/>
  <c r="BV6"/>
  <c r="BR6"/>
  <c r="AS6"/>
  <c r="AR6"/>
  <c r="AM6"/>
  <c r="AG6"/>
  <c r="AF6"/>
  <c r="AA6"/>
  <c r="Z6"/>
  <c r="Z311" s="1"/>
  <c r="M6"/>
  <c r="K6"/>
  <c r="I6"/>
  <c r="G6"/>
  <c r="D6"/>
  <c r="L6" s="1"/>
  <c r="N6" s="1"/>
  <c r="DW5"/>
  <c r="DW311" s="1"/>
  <c r="DV5"/>
  <c r="DV311" s="1"/>
  <c r="DU5"/>
  <c r="DU311" s="1"/>
  <c r="DT5"/>
  <c r="DT311" s="1"/>
  <c r="DS5"/>
  <c r="DS311" s="1"/>
  <c r="DQ5"/>
  <c r="DM5"/>
  <c r="DM311" s="1"/>
  <c r="CP5"/>
  <c r="CN5"/>
  <c r="CI5"/>
  <c r="CE5"/>
  <c r="CD5"/>
  <c r="CB5"/>
  <c r="CB311" s="1"/>
  <c r="CA5"/>
  <c r="BY5"/>
  <c r="BX5"/>
  <c r="BW5"/>
  <c r="BV5"/>
  <c r="BS5"/>
  <c r="BS311" s="1"/>
  <c r="BR5"/>
  <c r="BR311" s="1"/>
  <c r="BP5"/>
  <c r="BP311" s="1"/>
  <c r="BN5"/>
  <c r="BN311" s="1"/>
  <c r="AS5"/>
  <c r="AG5"/>
  <c r="AF5"/>
  <c r="AF311" s="1"/>
  <c r="AC5"/>
  <c r="U5"/>
  <c r="U311" s="1"/>
  <c r="T5"/>
  <c r="T311" s="1"/>
  <c r="R5"/>
  <c r="R311" s="1"/>
  <c r="P5"/>
  <c r="P311" s="1"/>
  <c r="K5"/>
  <c r="I5"/>
  <c r="G5"/>
  <c r="D5"/>
  <c r="L5" s="1"/>
  <c r="CQ4"/>
  <c r="CQ311" s="1"/>
  <c r="CP4"/>
  <c r="CP311" s="1"/>
  <c r="CO4"/>
  <c r="CO311" s="1"/>
  <c r="CN4"/>
  <c r="CN311" s="1"/>
  <c r="CL4"/>
  <c r="CK4"/>
  <c r="CK311" s="1"/>
  <c r="CJ4"/>
  <c r="CI4"/>
  <c r="CI311" s="1"/>
  <c r="CH4"/>
  <c r="CG4"/>
  <c r="CF4"/>
  <c r="CE4"/>
  <c r="CC4"/>
  <c r="CC311" s="1"/>
  <c r="CA4"/>
  <c r="BZ4"/>
  <c r="BZ311" s="1"/>
  <c r="BY4"/>
  <c r="BY311" s="1"/>
  <c r="BX4"/>
  <c r="BW4"/>
  <c r="BW311" s="1"/>
  <c r="AS4"/>
  <c r="AR4"/>
  <c r="AR311" s="1"/>
  <c r="AP4"/>
  <c r="AP311" s="1"/>
  <c r="AM4"/>
  <c r="AM311" s="1"/>
  <c r="AL4"/>
  <c r="AL311" s="1"/>
  <c r="AI4"/>
  <c r="AI311" s="1"/>
  <c r="AG4"/>
  <c r="AC4"/>
  <c r="AC311" s="1"/>
  <c r="AA4"/>
  <c r="AA311" s="1"/>
  <c r="I4"/>
  <c r="G4"/>
  <c r="L4" s="1"/>
  <c r="D4"/>
  <c r="DQ3"/>
  <c r="DQ311" s="1"/>
  <c r="CM3"/>
  <c r="CM311" s="1"/>
  <c r="CG3"/>
  <c r="CG311" s="1"/>
  <c r="CE3"/>
  <c r="CA3"/>
  <c r="CA311" s="1"/>
  <c r="BX3"/>
  <c r="BX311" s="1"/>
  <c r="BV3"/>
  <c r="BV311" s="1"/>
  <c r="AG3"/>
  <c r="AG311" s="1"/>
  <c r="K3"/>
  <c r="K311" s="1"/>
  <c r="I3"/>
  <c r="I311" s="1"/>
  <c r="G3"/>
  <c r="D3"/>
  <c r="D311" s="1"/>
  <c r="L3" l="1"/>
  <c r="G311"/>
  <c r="M3"/>
  <c r="CE311"/>
  <c r="M4"/>
  <c r="N4" s="1"/>
  <c r="AS311"/>
  <c r="CF311"/>
  <c r="CH311"/>
  <c r="CJ311"/>
  <c r="CL311"/>
  <c r="M5"/>
  <c r="N5" s="1"/>
  <c r="CD311"/>
  <c r="L8"/>
  <c r="M8"/>
  <c r="DP311"/>
  <c r="N11"/>
  <c r="L13"/>
  <c r="N13" s="1"/>
  <c r="L22"/>
  <c r="N22" s="1"/>
  <c r="L23"/>
  <c r="N23" s="1"/>
  <c r="L24"/>
  <c r="N24" s="1"/>
  <c r="L28"/>
  <c r="N28" s="1"/>
  <c r="N30"/>
  <c r="L32"/>
  <c r="N32" s="1"/>
  <c r="N35"/>
  <c r="N41"/>
  <c r="N45"/>
  <c r="N49"/>
  <c r="N52"/>
  <c r="N59"/>
  <c r="N65"/>
  <c r="N71"/>
  <c r="N78"/>
  <c r="N81"/>
  <c r="N86"/>
  <c r="N88"/>
  <c r="N92"/>
  <c r="N100"/>
  <c r="N102"/>
  <c r="N104"/>
  <c r="N114"/>
  <c r="N116"/>
  <c r="N119"/>
  <c r="N125"/>
  <c r="N127"/>
  <c r="BT311"/>
  <c r="M12"/>
  <c r="N12" s="1"/>
  <c r="N14"/>
  <c r="N21"/>
  <c r="AE311"/>
  <c r="AH311"/>
  <c r="AQ311"/>
  <c r="Y311"/>
  <c r="AJ311"/>
  <c r="AU311"/>
  <c r="AW311"/>
  <c r="AY311"/>
  <c r="L132"/>
  <c r="N132" s="1"/>
  <c r="N136"/>
  <c r="N137"/>
  <c r="N139"/>
  <c r="N144"/>
  <c r="N148"/>
  <c r="N150"/>
  <c r="N151"/>
  <c r="N152"/>
  <c r="N153"/>
  <c r="N154"/>
  <c r="N155"/>
  <c r="N156"/>
  <c r="L158"/>
  <c r="N158" s="1"/>
  <c r="N162"/>
  <c r="BA311"/>
  <c r="BC311"/>
  <c r="BE311"/>
  <c r="N165"/>
  <c r="N169"/>
  <c r="N197"/>
  <c r="N202"/>
  <c r="N206"/>
  <c r="N223"/>
  <c r="N245"/>
  <c r="N247"/>
  <c r="N249"/>
  <c r="N253"/>
  <c r="N255"/>
  <c r="N264"/>
  <c r="N267"/>
  <c r="N270"/>
  <c r="N272"/>
  <c r="N278"/>
  <c r="N280"/>
  <c r="N286"/>
  <c r="N289"/>
  <c r="N291"/>
  <c r="N293"/>
  <c r="N295"/>
  <c r="N298"/>
  <c r="N304"/>
  <c r="N133"/>
  <c r="N146"/>
  <c r="N159"/>
  <c r="N160"/>
  <c r="M177"/>
  <c r="N177" s="1"/>
  <c r="L311" l="1"/>
  <c r="N3"/>
  <c r="N8"/>
  <c r="M311"/>
  <c r="N311" l="1"/>
  <c r="Q3" i="10" l="1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5"/>
  <c r="R6"/>
  <c r="R7"/>
  <c r="R8"/>
  <c r="R9"/>
  <c r="R10"/>
  <c r="R11"/>
  <c r="R12"/>
  <c r="R13"/>
  <c r="R14"/>
  <c r="R15"/>
  <c r="R16"/>
  <c r="R17"/>
  <c r="R18"/>
  <c r="R19"/>
  <c r="R20"/>
  <c r="R21"/>
  <c r="R4"/>
  <c r="R3"/>
  <c r="AE12" i="4" l="1"/>
  <c r="AF12"/>
  <c r="AG12"/>
  <c r="AH12"/>
  <c r="AI12"/>
  <c r="AJ12"/>
  <c r="AK12"/>
  <c r="AL12"/>
  <c r="AM12"/>
  <c r="AN12"/>
  <c r="AO12"/>
  <c r="AP12"/>
  <c r="D210" i="10"/>
  <c r="C10" i="4" s="1"/>
  <c r="D209" i="10"/>
  <c r="D10" i="4" s="1"/>
  <c r="B10"/>
  <c r="M193" i="10"/>
  <c r="J193"/>
  <c r="G193"/>
  <c r="J192"/>
  <c r="Q192" s="1"/>
  <c r="M191"/>
  <c r="J191"/>
  <c r="G191"/>
  <c r="J190"/>
  <c r="Q190" s="1"/>
  <c r="J189"/>
  <c r="Q189" s="1"/>
  <c r="J188"/>
  <c r="Q188" s="1"/>
  <c r="M187"/>
  <c r="M206" s="1"/>
  <c r="J187"/>
  <c r="G187"/>
  <c r="G206" s="1"/>
  <c r="AQ13" i="4" s="1"/>
  <c r="J186" i="10"/>
  <c r="Q186" s="1"/>
  <c r="J185"/>
  <c r="Q185" s="1"/>
  <c r="J184"/>
  <c r="Q184" s="1"/>
  <c r="J183"/>
  <c r="Q183" s="1"/>
  <c r="J182"/>
  <c r="Q182" s="1"/>
  <c r="J181"/>
  <c r="Q181" s="1"/>
  <c r="J180"/>
  <c r="Q180" s="1"/>
  <c r="J179"/>
  <c r="Q179" s="1"/>
  <c r="J178"/>
  <c r="Q178" s="1"/>
  <c r="J177"/>
  <c r="Q177" s="1"/>
  <c r="J176"/>
  <c r="Q176" s="1"/>
  <c r="J175"/>
  <c r="Q175" s="1"/>
  <c r="J174"/>
  <c r="Q174" s="1"/>
  <c r="J173"/>
  <c r="Q173" s="1"/>
  <c r="J172"/>
  <c r="Q172" s="1"/>
  <c r="J171"/>
  <c r="Q171" s="1"/>
  <c r="J170"/>
  <c r="Q170" s="1"/>
  <c r="J169"/>
  <c r="Q169" s="1"/>
  <c r="J168"/>
  <c r="Q168" s="1"/>
  <c r="J167"/>
  <c r="Q167" s="1"/>
  <c r="J166"/>
  <c r="Q166" s="1"/>
  <c r="J165"/>
  <c r="F208" i="8"/>
  <c r="F169"/>
  <c r="F150"/>
  <c r="F114"/>
  <c r="F76"/>
  <c r="F77"/>
  <c r="F55"/>
  <c r="F66"/>
  <c r="Q165" i="10" l="1"/>
  <c r="J206"/>
  <c r="S165"/>
  <c r="S166"/>
  <c r="S168"/>
  <c r="S172"/>
  <c r="S180"/>
  <c r="S181"/>
  <c r="S182"/>
  <c r="S184"/>
  <c r="S189"/>
  <c r="S173"/>
  <c r="S174"/>
  <c r="S176"/>
  <c r="S190"/>
  <c r="S192"/>
  <c r="S169"/>
  <c r="S170"/>
  <c r="S177"/>
  <c r="S178"/>
  <c r="S185"/>
  <c r="S186"/>
  <c r="S6"/>
  <c r="S10"/>
  <c r="S16"/>
  <c r="S167"/>
  <c r="S171"/>
  <c r="S175"/>
  <c r="S179"/>
  <c r="S183"/>
  <c r="S188"/>
  <c r="Q191"/>
  <c r="S191" s="1"/>
  <c r="S11"/>
  <c r="S18"/>
  <c r="S5"/>
  <c r="S7"/>
  <c r="S8"/>
  <c r="S12"/>
  <c r="S13"/>
  <c r="S14"/>
  <c r="S17"/>
  <c r="S19"/>
  <c r="S20"/>
  <c r="Q187"/>
  <c r="S187" s="1"/>
  <c r="Q193"/>
  <c r="S193" s="1"/>
  <c r="S9"/>
  <c r="S15"/>
  <c r="S21"/>
  <c r="S4"/>
  <c r="Q206" l="1"/>
  <c r="R206"/>
  <c r="S3"/>
  <c r="F38" i="8"/>
  <c r="F92"/>
  <c r="F93"/>
  <c r="F94"/>
  <c r="F95"/>
  <c r="F96"/>
  <c r="F97"/>
  <c r="F98"/>
  <c r="F99"/>
  <c r="F127"/>
  <c r="F128"/>
  <c r="F129"/>
  <c r="F130"/>
  <c r="F131"/>
  <c r="F132"/>
  <c r="F110"/>
  <c r="F111"/>
  <c r="F112"/>
  <c r="F113"/>
  <c r="F30"/>
  <c r="F31"/>
  <c r="F32"/>
  <c r="F33"/>
  <c r="F34"/>
  <c r="F35"/>
  <c r="F36"/>
  <c r="F37"/>
  <c r="F20"/>
  <c r="F21"/>
  <c r="F40"/>
  <c r="F123"/>
  <c r="F19"/>
  <c r="F124"/>
  <c r="F125"/>
  <c r="F126"/>
  <c r="F84"/>
  <c r="F22"/>
  <c r="F23"/>
  <c r="F78"/>
  <c r="F100"/>
  <c r="F85"/>
  <c r="F101"/>
  <c r="F56"/>
  <c r="F7"/>
  <c r="F102"/>
  <c r="F103"/>
  <c r="F104"/>
  <c r="F86"/>
  <c r="F8"/>
  <c r="F49"/>
  <c r="F65"/>
  <c r="F115"/>
  <c r="F41"/>
  <c r="F42"/>
  <c r="F43"/>
  <c r="F9"/>
  <c r="F10"/>
  <c r="F44"/>
  <c r="F45"/>
  <c r="F46"/>
  <c r="F47"/>
  <c r="F48"/>
  <c r="F63"/>
  <c r="F50"/>
  <c r="F64"/>
  <c r="F79"/>
  <c r="F61"/>
  <c r="F62"/>
  <c r="F116"/>
  <c r="F59"/>
  <c r="F60"/>
  <c r="F117"/>
  <c r="F58"/>
  <c r="F11"/>
  <c r="F118"/>
  <c r="F52"/>
  <c r="F57"/>
  <c r="F51"/>
  <c r="F12"/>
  <c r="F13"/>
  <c r="F119"/>
  <c r="F87"/>
  <c r="F88"/>
  <c r="F15"/>
  <c r="F105"/>
  <c r="F14"/>
  <c r="F91"/>
  <c r="F83"/>
  <c r="F53"/>
  <c r="F106"/>
  <c r="F54"/>
  <c r="F17"/>
  <c r="F107"/>
  <c r="F70"/>
  <c r="F71"/>
  <c r="F108"/>
  <c r="F16"/>
  <c r="F24"/>
  <c r="F25"/>
  <c r="F26"/>
  <c r="F27"/>
  <c r="F28"/>
  <c r="F109"/>
  <c r="F67"/>
  <c r="F82"/>
  <c r="F29"/>
  <c r="F68"/>
  <c r="F80"/>
  <c r="F81"/>
  <c r="F69"/>
  <c r="F89"/>
  <c r="F90"/>
  <c r="F120"/>
  <c r="F121"/>
  <c r="F122"/>
  <c r="F74"/>
  <c r="F39"/>
  <c r="F6"/>
  <c r="F73"/>
  <c r="F3"/>
  <c r="F72"/>
  <c r="F5"/>
  <c r="F4"/>
  <c r="S206" i="10" l="1"/>
  <c r="I69" i="5"/>
  <c r="H143"/>
  <c r="T120" l="1"/>
  <c r="T128"/>
  <c r="T167"/>
  <c r="T81"/>
  <c r="I152"/>
  <c r="T181"/>
  <c r="U180" l="1"/>
  <c r="E174" l="1"/>
  <c r="W174"/>
  <c r="R174"/>
  <c r="M174"/>
  <c r="T126"/>
  <c r="I149" l="1"/>
  <c r="R177"/>
  <c r="E140" l="1"/>
  <c r="E172"/>
  <c r="I158" l="1"/>
  <c r="W123" l="1"/>
  <c r="E176" l="1"/>
  <c r="E129"/>
  <c r="E141"/>
  <c r="T175"/>
  <c r="W166"/>
  <c r="H163"/>
  <c r="H162"/>
  <c r="E163"/>
  <c r="E162"/>
  <c r="M147"/>
  <c r="I173"/>
  <c r="E173"/>
  <c r="W171"/>
  <c r="H171"/>
  <c r="E170"/>
  <c r="R168"/>
  <c r="M168"/>
  <c r="H169"/>
  <c r="W146"/>
  <c r="H168"/>
  <c r="P167"/>
  <c r="M129"/>
  <c r="T165"/>
  <c r="M165"/>
  <c r="R164"/>
  <c r="E161"/>
  <c r="T118"/>
  <c r="E160"/>
  <c r="H159"/>
  <c r="M118"/>
  <c r="T158"/>
  <c r="K157"/>
  <c r="I156"/>
  <c r="T155"/>
  <c r="H154"/>
  <c r="G153"/>
  <c r="W132"/>
  <c r="T151"/>
  <c r="E150"/>
  <c r="T147"/>
  <c r="T148"/>
  <c r="E148"/>
  <c r="I146"/>
  <c r="H145"/>
  <c r="M144"/>
  <c r="M143"/>
  <c r="W142"/>
  <c r="N121"/>
  <c r="N182" s="1"/>
  <c r="M121"/>
  <c r="F76"/>
  <c r="F83"/>
  <c r="F85"/>
  <c r="F89"/>
  <c r="F182"/>
  <c r="G4"/>
  <c r="G6"/>
  <c r="G12"/>
  <c r="G21"/>
  <c r="G22"/>
  <c r="G24"/>
  <c r="G27"/>
  <c r="G28"/>
  <c r="G39"/>
  <c r="G40"/>
  <c r="G42"/>
  <c r="G43"/>
  <c r="G45"/>
  <c r="G48"/>
  <c r="G70"/>
  <c r="G72"/>
  <c r="G75"/>
  <c r="G77"/>
  <c r="G78"/>
  <c r="G79"/>
  <c r="G80"/>
  <c r="G84"/>
  <c r="G91"/>
  <c r="G93"/>
  <c r="G94"/>
  <c r="G95"/>
  <c r="G102"/>
  <c r="G134"/>
  <c r="G135"/>
  <c r="H124"/>
  <c r="H129"/>
  <c r="H132"/>
  <c r="H116"/>
  <c r="I182"/>
  <c r="I5"/>
  <c r="I8" s="1"/>
  <c r="I19"/>
  <c r="I27"/>
  <c r="I29"/>
  <c r="I31"/>
  <c r="I34"/>
  <c r="I35"/>
  <c r="I37"/>
  <c r="I47"/>
  <c r="I51"/>
  <c r="I52"/>
  <c r="I53"/>
  <c r="I54"/>
  <c r="I55"/>
  <c r="I56"/>
  <c r="I57"/>
  <c r="I58"/>
  <c r="I59"/>
  <c r="I62"/>
  <c r="I63"/>
  <c r="I81"/>
  <c r="I96"/>
  <c r="I97"/>
  <c r="I100"/>
  <c r="I103"/>
  <c r="I108"/>
  <c r="I113"/>
  <c r="J4"/>
  <c r="J7"/>
  <c r="J13"/>
  <c r="J15"/>
  <c r="J23"/>
  <c r="J26"/>
  <c r="J29"/>
  <c r="J34"/>
  <c r="J35"/>
  <c r="J38"/>
  <c r="J44"/>
  <c r="J45"/>
  <c r="J50"/>
  <c r="J66"/>
  <c r="J67"/>
  <c r="J81"/>
  <c r="J85"/>
  <c r="J87"/>
  <c r="J100"/>
  <c r="J114"/>
  <c r="E131"/>
  <c r="E133"/>
  <c r="J182"/>
  <c r="K13"/>
  <c r="K14"/>
  <c r="K18"/>
  <c r="K21"/>
  <c r="K22"/>
  <c r="K31"/>
  <c r="K36"/>
  <c r="K37"/>
  <c r="K46"/>
  <c r="K67"/>
  <c r="K73"/>
  <c r="K74"/>
  <c r="K75"/>
  <c r="K82"/>
  <c r="K84"/>
  <c r="K85"/>
  <c r="K93"/>
  <c r="K95"/>
  <c r="K96"/>
  <c r="K97"/>
  <c r="K101"/>
  <c r="K105"/>
  <c r="K134"/>
  <c r="K138"/>
  <c r="K139"/>
  <c r="L64"/>
  <c r="L95"/>
  <c r="L116" s="1"/>
  <c r="L182"/>
  <c r="M126"/>
  <c r="M131"/>
  <c r="M133"/>
  <c r="M136"/>
  <c r="M137"/>
  <c r="M116"/>
  <c r="N116"/>
  <c r="O20"/>
  <c r="O30"/>
  <c r="O32"/>
  <c r="O33"/>
  <c r="O35"/>
  <c r="O38"/>
  <c r="O74"/>
  <c r="O116" s="1"/>
  <c r="O182"/>
  <c r="P20"/>
  <c r="P21"/>
  <c r="P22"/>
  <c r="P28"/>
  <c r="P31"/>
  <c r="P35"/>
  <c r="P36"/>
  <c r="P46"/>
  <c r="P66"/>
  <c r="P68"/>
  <c r="P71"/>
  <c r="P72"/>
  <c r="P83"/>
  <c r="P84"/>
  <c r="P85"/>
  <c r="P88"/>
  <c r="P89"/>
  <c r="P90"/>
  <c r="P92"/>
  <c r="P93"/>
  <c r="P95"/>
  <c r="P105"/>
  <c r="P122"/>
  <c r="P134"/>
  <c r="Q64"/>
  <c r="Q116"/>
  <c r="Q182"/>
  <c r="R123"/>
  <c r="R137"/>
  <c r="R140"/>
  <c r="S182"/>
  <c r="T119"/>
  <c r="T127"/>
  <c r="T136"/>
  <c r="T137"/>
  <c r="E16"/>
  <c r="E18"/>
  <c r="E23"/>
  <c r="E25"/>
  <c r="E31"/>
  <c r="E33"/>
  <c r="E35"/>
  <c r="E38"/>
  <c r="E41"/>
  <c r="E46"/>
  <c r="T74"/>
  <c r="T88"/>
  <c r="T104"/>
  <c r="T106"/>
  <c r="T109"/>
  <c r="T110"/>
  <c r="T111"/>
  <c r="T112"/>
  <c r="U107"/>
  <c r="U116" s="1"/>
  <c r="V130"/>
  <c r="V182" s="1"/>
  <c r="W136"/>
  <c r="M140"/>
  <c r="X182"/>
  <c r="E123"/>
  <c r="E125"/>
  <c r="E2"/>
  <c r="E3"/>
  <c r="E7"/>
  <c r="E86"/>
  <c r="E87"/>
  <c r="E90"/>
  <c r="E98"/>
  <c r="U60"/>
  <c r="U49"/>
  <c r="U61"/>
  <c r="U11"/>
  <c r="U182" s="1"/>
  <c r="C14" i="4"/>
  <c r="D14"/>
  <c r="E182" i="5" l="1"/>
  <c r="E8"/>
  <c r="T116"/>
  <c r="P64"/>
  <c r="G8"/>
  <c r="G182"/>
  <c r="E64"/>
  <c r="I64"/>
  <c r="P182"/>
  <c r="B14" i="4"/>
  <c r="J8" i="5"/>
  <c r="E116"/>
  <c r="R182"/>
  <c r="O64"/>
  <c r="M182"/>
  <c r="K116"/>
  <c r="J64"/>
  <c r="I116"/>
  <c r="H182"/>
  <c r="G116"/>
  <c r="W182"/>
  <c r="T182"/>
  <c r="P116"/>
  <c r="K182"/>
  <c r="K64"/>
  <c r="J116"/>
  <c r="G64"/>
  <c r="F116"/>
  <c r="T64" l="1"/>
  <c r="E14" i="4"/>
  <c r="CK206" i="10"/>
  <c r="AM11" i="4"/>
  <c r="N12"/>
  <c r="CW206" i="10"/>
  <c r="BP206"/>
  <c r="R11" i="4"/>
  <c r="AG11"/>
  <c r="CE206" i="10"/>
  <c r="W11" i="4"/>
  <c r="BU206" i="10"/>
  <c r="Y11" i="4"/>
  <c r="BW206" i="10"/>
  <c r="CZ206"/>
  <c r="Q12" i="4"/>
  <c r="CL206" i="10"/>
  <c r="AN11" i="4"/>
  <c r="BZ206" i="10"/>
  <c r="AB11" i="4"/>
  <c r="J12"/>
  <c r="CS206" i="10"/>
  <c r="BF206"/>
  <c r="H11" i="4"/>
  <c r="CQ206" i="10"/>
  <c r="H12" i="4"/>
  <c r="AO11"/>
  <c r="CM206" i="10"/>
  <c r="AD14" i="4"/>
  <c r="AD10"/>
  <c r="AQ206" i="10"/>
  <c r="AA12" i="4"/>
  <c r="DJ206" i="10"/>
  <c r="V11" i="4"/>
  <c r="BT206" i="10"/>
  <c r="CY206"/>
  <c r="P12" i="4"/>
  <c r="AI14"/>
  <c r="AB12"/>
  <c r="DK206" i="10"/>
  <c r="CX206"/>
  <c r="O12" i="4"/>
  <c r="BG206" i="10"/>
  <c r="I11" i="4"/>
  <c r="Z12"/>
  <c r="DI206" i="10"/>
  <c r="V12" i="4"/>
  <c r="DE206" i="10"/>
  <c r="L12" i="4"/>
  <c r="CU206" i="10"/>
  <c r="CB206"/>
  <c r="AD11" i="4"/>
  <c r="AC11"/>
  <c r="CA206" i="10"/>
  <c r="K11" i="4"/>
  <c r="BI206" i="10"/>
  <c r="AE14" i="4"/>
  <c r="AK14"/>
  <c r="DA206" i="10"/>
  <c r="R12" i="4"/>
  <c r="BS206" i="10"/>
  <c r="U11" i="4"/>
  <c r="AE10"/>
  <c r="AR206" i="10"/>
  <c r="AH11" i="4"/>
  <c r="CF206" i="10"/>
  <c r="H14" i="4"/>
  <c r="K14"/>
  <c r="AH14"/>
  <c r="AH10"/>
  <c r="AU206" i="10"/>
  <c r="AC14" i="4"/>
  <c r="AQ11"/>
  <c r="X12"/>
  <c r="DG206" i="10"/>
  <c r="BL206"/>
  <c r="N11" i="4"/>
  <c r="CV206" i="10"/>
  <c r="M12" i="4"/>
  <c r="BA206" i="10"/>
  <c r="AN10" i="4"/>
  <c r="AN14"/>
  <c r="BQ206" i="10"/>
  <c r="S11" i="4"/>
  <c r="AZ206" i="10"/>
  <c r="AM10" i="4"/>
  <c r="AM14"/>
  <c r="CO206" i="10"/>
  <c r="Y14" i="4"/>
  <c r="BV206" i="10"/>
  <c r="X11" i="4"/>
  <c r="AL206" i="10"/>
  <c r="Y10" i="4"/>
  <c r="CH206" i="10"/>
  <c r="AJ11" i="4"/>
  <c r="U12"/>
  <c r="DD206" i="10"/>
  <c r="DC206"/>
  <c r="T12" i="4"/>
  <c r="AA14"/>
  <c r="AL11"/>
  <c r="CJ206" i="10"/>
  <c r="S12" i="4"/>
  <c r="DB206" i="10"/>
  <c r="AF14" i="4"/>
  <c r="AK10"/>
  <c r="AX206" i="10"/>
  <c r="G11" i="4"/>
  <c r="BE206" i="10"/>
  <c r="BN206"/>
  <c r="P11" i="4"/>
  <c r="H10"/>
  <c r="U206" i="10"/>
  <c r="K10" i="4"/>
  <c r="X206" i="10"/>
  <c r="Q14" i="4"/>
  <c r="AQ10"/>
  <c r="T11"/>
  <c r="BR206" i="10"/>
  <c r="I12" i="4"/>
  <c r="CR206" i="10"/>
  <c r="AA11" i="4"/>
  <c r="BY206" i="10"/>
  <c r="AI11" i="4"/>
  <c r="CG206" i="10"/>
  <c r="CI206"/>
  <c r="AK11" i="4"/>
  <c r="BH206" i="10"/>
  <c r="J11" i="4"/>
  <c r="K12"/>
  <c r="CT206" i="10"/>
  <c r="BK206"/>
  <c r="M11" i="4"/>
  <c r="BO206" i="10"/>
  <c r="Q11" i="4"/>
  <c r="T14"/>
  <c r="DL206" i="10"/>
  <c r="AC12" i="4"/>
  <c r="BC206" i="10"/>
  <c r="AP10" i="4"/>
  <c r="AP14"/>
  <c r="CD206" i="10"/>
  <c r="AF11" i="4"/>
  <c r="AP11"/>
  <c r="CN206" i="10"/>
  <c r="DH206"/>
  <c r="Y12" i="4"/>
  <c r="AE206" i="10"/>
  <c r="R10" i="4"/>
  <c r="R14"/>
  <c r="AB206" i="10"/>
  <c r="O10" i="4"/>
  <c r="O14"/>
  <c r="BX206" i="10"/>
  <c r="Z11" i="4"/>
  <c r="AB14"/>
  <c r="AA206" i="10"/>
  <c r="N10" i="4"/>
  <c r="N14"/>
  <c r="AB10"/>
  <c r="AO206" i="10"/>
  <c r="AH206"/>
  <c r="U10" i="4"/>
  <c r="U14"/>
  <c r="T10"/>
  <c r="AG206" i="10"/>
  <c r="AA10" i="4"/>
  <c r="AN206" i="10"/>
  <c r="AE11" i="4"/>
  <c r="CC206" i="10"/>
  <c r="CP206"/>
  <c r="G12" i="4"/>
  <c r="AQ12"/>
  <c r="O11"/>
  <c r="BM206" i="10"/>
  <c r="AD12" i="4"/>
  <c r="DM206" i="10"/>
  <c r="DF206"/>
  <c r="W12" i="4"/>
  <c r="AF10"/>
  <c r="AS206" i="10"/>
  <c r="Z206"/>
  <c r="M10" i="4"/>
  <c r="M14"/>
  <c r="BJ206" i="10"/>
  <c r="L11" i="4"/>
  <c r="AV206" i="10"/>
  <c r="AI10" i="4"/>
  <c r="Q10"/>
  <c r="AD206" i="10"/>
  <c r="AY206"/>
  <c r="AL10" i="4"/>
  <c r="AL14"/>
  <c r="AC10"/>
  <c r="AP206" i="10"/>
  <c r="AW206"/>
  <c r="AJ10" i="4"/>
  <c r="AJ14"/>
  <c r="AK206" i="10"/>
  <c r="X10" i="4"/>
  <c r="X14"/>
  <c r="BD206" i="10"/>
  <c r="AI206"/>
  <c r="V10" i="4"/>
  <c r="V14"/>
  <c r="Y206" i="10"/>
  <c r="L10" i="4"/>
  <c r="L14"/>
  <c r="W206" i="10"/>
  <c r="J10" i="4"/>
  <c r="J14"/>
  <c r="V206" i="10"/>
  <c r="I10" i="4"/>
  <c r="I14"/>
  <c r="BB206" i="10"/>
  <c r="AO10" i="4"/>
  <c r="AO14"/>
  <c r="AF206" i="10"/>
  <c r="S10" i="4"/>
  <c r="S14"/>
  <c r="AJ206" i="10"/>
  <c r="W10" i="4"/>
  <c r="W14"/>
  <c r="T206" i="10"/>
  <c r="G10" i="4"/>
  <c r="G14"/>
  <c r="AQ14"/>
  <c r="AM206" i="10"/>
  <c r="Z10" i="4"/>
  <c r="Z14"/>
  <c r="AT206" i="10"/>
  <c r="AG10" i="4"/>
  <c r="AG14"/>
  <c r="AC206" i="10"/>
  <c r="P10" i="4"/>
  <c r="P14"/>
</calcChain>
</file>

<file path=xl/comments1.xml><?xml version="1.0" encoding="utf-8"?>
<comments xmlns="http://schemas.openxmlformats.org/spreadsheetml/2006/main">
  <authors>
    <author>PKU</author>
    <author>微软用户</author>
    <author>zhaoys</author>
    <author>雨林木风</author>
  </authors>
  <commentList>
    <comment ref="D3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共缴纳2011年9月5日-2012年8月31日学费3150*12=37800元，餐费7920元，校车费2011年12月-2012年2月份300*3=900元，总计收费46620元，由于12年2月份费用下调，学费由3150元下调到2000元，差额1150*7=8050元，餐费由660元下调到360元，差额300*7=2100元，退1月份请假学费1575元，餐费532元，杂费1500元，总计退费13757元，扣除2012年3月份-8月份校车费300*6=1800元，实际退费11957元，但家长同意用此笔费用递减5个月学费及餐费剩余款不退还，延至到2013年1月份，同时减免5个月校车费2012年9月-2013年1月
2012.8.30重新办理入学手续，应收2012.9.1-2013.2.28学费2000*6=12000元、餐费400*6=2400元、一次性用品1000元、杂费300元、校车费1200元，共计16900元，应退2012.9.1-2013.1.31学费2000*5=10000元、餐费360*5=1800元、5月餐费75、7月餐费80元，合计11955元，实际缴纳4945元整。</t>
        </r>
      </text>
    </comment>
    <comment ref="J3" authorId="1">
      <text>
        <r>
          <rPr>
            <sz val="9"/>
            <color indexed="81"/>
            <rFont val="Tahoma"/>
            <family val="2"/>
          </rPr>
          <t>2012.8.30</t>
        </r>
        <r>
          <rPr>
            <sz val="9"/>
            <color indexed="81"/>
            <rFont val="宋体"/>
            <family val="3"/>
            <charset val="134"/>
          </rPr>
          <t>重新办理入学手续。</t>
        </r>
        <r>
          <rPr>
            <sz val="9"/>
            <color indexed="81"/>
            <rFont val="Tahoma"/>
            <family val="2"/>
          </rPr>
          <t>2012.9.1-2012.2.28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2000*6=12000</t>
        </r>
        <r>
          <rPr>
            <sz val="9"/>
            <color indexed="81"/>
            <rFont val="宋体"/>
            <family val="3"/>
            <charset val="134"/>
          </rPr>
          <t>，扣除欧瑞已交学费</t>
        </r>
        <r>
          <rPr>
            <sz val="9"/>
            <color indexed="81"/>
            <rFont val="Tahoma"/>
            <family val="2"/>
          </rPr>
          <t xml:space="preserve">2012.9.1-2013.1.31.2000*5=10000
</t>
        </r>
      </text>
    </comment>
    <comment ref="M3" authorId="1">
      <text>
        <r>
          <rPr>
            <sz val="9"/>
            <color indexed="81"/>
            <rFont val="宋体"/>
            <family val="3"/>
            <charset val="134"/>
          </rPr>
          <t>2012.8.30从新办理入学手续，缴纳2012.9.1-2013.2.28餐费400*6，扣除欧瑞缴纳2012.9.1-2012.1.31日餐费360*5=1800元  5月应退餐费75元，7月应退80元，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缴纳2011年9月5日-2012年8月31日学费37800元，餐费7920元，共计缴纳费用45720元，由于12年2月份费用下调，学费由3150元下调到2000元，差额1150*7=8050元，餐费由660元下调到360元，差额300*7=2100元，请假1、7、8月，学费7150元，餐费12、2月各1天、1、7、8整月应退餐费1413元，杂费1500元，应退还金额20213元，已退完
2012.7.2缴纳2012.7-2013.2.28学费2000*8=16000元、2013.3.1-2013.8.31学费2500*6=15000元、2012.7.1-2012.7.31餐费400元，共计31400元，
2012.9.3缴纳2012.8.1-2012.9.30餐费800元、一次性用品1000元、杂费300元，共计2100元
舒哲在6、8、9、10月份的出清应退学费1500元，餐费1025元，以上金额用于冲抵2012.12、2013.1、2013.2月餐费1200元，剩余1325元，作为备用金。                                        根据舒哲12、2月的出勤情况，退学费1500元，餐费445元，备用金1325元，共计3270元，用于抵扣2013.3.1-2013.8.31餐费以及2013.3.1-2013.8.31杂费，剩余570元，作为备用金,2013.3.21日备用金已退。
根据舒哲小朋友2013.8月份的出清情况，退学费2000元，餐费400元，共计2400元，用于抵扣餐费（2013.10.1-2014.2.28），剩余400元，作为备用金，2014.3.5根据2014.1、2月份的出勤情况，退学费3250元，餐费580元，加上备用金400元，共计4230元，用于抵扣钢琴课费1600元，剩余2630元，作为备用金，未退。</t>
        </r>
      </text>
    </comment>
    <comment ref="D5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缴纳2011年9月5日-2012年8月31日学费37800元，餐费2011年9月5日-2012年2月28日3267元（该生是季度缴纳餐费，在缴纳11年12月份-12年2月份餐费是由于10月份请假4天应退学费573元，餐费120元共计693元抵减，实付金额1287元，2011年12月-2012年2月校车费900元，共计缴纳费用41967元，由于2月份费用下调学费由3150元下调到2000元，差额1150*7=8050元，餐费由660下调到360元差额300元，12月请假6天，1月份整月，3月份16天病假，共计应退学费5463元，餐费还有2月份4天1167元，退校车费300元，杂费1500元，应退金额16781扣除12年3月-8月份餐费2160元，实际退费14621元，已退完
2012.8.28缴纳2012.9.1-2013.2.28学费2000*6=12000元、2012.9.1-2012.9.30餐费400元、2012.9.1-2013.2.28校车费200*6=1200元、一次性用品1000元、2012.9.1-2013.2.28杂费300元，应收合计14900元，应退六月出勤7天半月学费1000元、餐费234元、5月餐费60元、7月餐费128元，应退合计1422元，实际收款13478元整。</t>
        </r>
      </text>
    </comment>
    <comment ref="D6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缴纳2011年9月15日-2012年8月31日学费38122.5元，2011年9月15日-2012年2月份餐费3630元，2011年12月-2012年2月份校车费900元，共计缴纳42652.5元，由于2月份费用下调，学费由3315元下调到2000元，差额1315*7=9205元，餐费由660下调到360元，差额300元，1月份请假整月，2月份事假6天，应退学费3315元，餐费758元，校车费900元，杂费1500元，应退金额15978元，扣除12年3月-8月餐费2160元，应退费用13818元，由于出纳计算有误，实际付款14718元。
2012.8.14.该生缴纳2012.9.1-2013.2.28学费2000*6=12000元，2013.3.1-2014.8.31学费2500*18*0.9=40500元，餐费2012.9.1-2012.9.30餐费400元，一次性用品1000元，2012.9.1-2013.8.31杂费300*2=600元，应退2012.7月份半月学费1000元，实收53500元整。应退5月餐费15元，7月餐费224元，共计239元,已退。                
根据陈佑民小朋友2013.1、2月份的出勤，退学费2500元，餐费565元，共计3065元，用于抵扣2013.3、4、5、6月份的餐费，剩余1465元，作为备用金.2013.6.18备用金1465元用于抵扣餐费（2013.7.1-2013.8.31），剩余665元，作为备用金，         根据2013.5、6、7、8月份的出勤情况退学费1750元，餐费685元，加上备用金665元共计3100元，用于抵扣杂费600元（2013.9.1-2014.2.28）以及餐费2400元（2013.9.1-2014.2.28）剩余100元作为备用金，2014.2.18备用金已退。</t>
        </r>
      </text>
    </comment>
    <comment ref="G6" authorId="1">
      <text>
        <r>
          <rPr>
            <sz val="9"/>
            <color indexed="81"/>
            <rFont val="宋体"/>
            <family val="3"/>
            <charset val="134"/>
          </rPr>
          <t>欧瑞</t>
        </r>
        <r>
          <rPr>
            <sz val="9"/>
            <color indexed="81"/>
            <rFont val="Tahoma"/>
            <family val="2"/>
          </rPr>
          <t>600+</t>
        </r>
        <r>
          <rPr>
            <sz val="9"/>
            <color indexed="81"/>
            <rFont val="宋体"/>
            <family val="3"/>
            <charset val="134"/>
          </rPr>
          <t>北大公学一次性用品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宋体"/>
            <family val="3"/>
            <charset val="134"/>
          </rPr>
          <t>杂费</t>
        </r>
        <r>
          <rPr>
            <sz val="9"/>
            <color indexed="81"/>
            <rFont val="Tahoma"/>
            <family val="2"/>
          </rPr>
          <t xml:space="preserve">2012.9.1-2013.8.31
</t>
        </r>
      </text>
    </comment>
    <comment ref="J6" authorId="1">
      <text>
        <r>
          <rPr>
            <sz val="9"/>
            <color indexed="81"/>
            <rFont val="Tahoma"/>
            <family val="2"/>
          </rPr>
          <t>2011.9.15-2012.8.31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25602.5</t>
        </r>
        <r>
          <rPr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2000*6=12000</t>
        </r>
        <r>
          <rPr>
            <sz val="9"/>
            <color indexed="81"/>
            <rFont val="宋体"/>
            <family val="3"/>
            <charset val="134"/>
          </rPr>
          <t>元，</t>
        </r>
        <r>
          <rPr>
            <sz val="9"/>
            <color indexed="81"/>
            <rFont val="Tahoma"/>
            <family val="2"/>
          </rPr>
          <t>2013.3.1-2014.8.31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 xml:space="preserve">2500*18*0.9=40500
</t>
        </r>
      </text>
    </comment>
    <comment ref="M6" authorId="1">
      <text>
        <r>
          <rPr>
            <sz val="9"/>
            <color indexed="81"/>
            <rFont val="Tahoma"/>
            <family val="2"/>
          </rPr>
          <t>2011.9.5-2012.8.31</t>
        </r>
        <r>
          <rPr>
            <sz val="9"/>
            <color indexed="81"/>
            <rFont val="宋体"/>
            <family val="3"/>
            <charset val="134"/>
          </rPr>
          <t>餐费</t>
        </r>
        <r>
          <rPr>
            <sz val="9"/>
            <color indexed="81"/>
            <rFont val="Tahoma"/>
            <family val="2"/>
          </rPr>
          <t>4732+2012.9.1-2012.9.30</t>
        </r>
        <r>
          <rPr>
            <sz val="9"/>
            <color indexed="81"/>
            <rFont val="宋体"/>
            <family val="3"/>
            <charset val="134"/>
          </rPr>
          <t>餐费</t>
        </r>
        <r>
          <rPr>
            <sz val="9"/>
            <color indexed="81"/>
            <rFont val="Tahoma"/>
            <family val="2"/>
          </rPr>
          <t xml:space="preserve">400
</t>
        </r>
      </text>
    </comment>
    <comment ref="D7" authorId="1">
      <text>
        <r>
          <rPr>
            <sz val="9"/>
            <color indexed="81"/>
            <rFont val="Tahoma"/>
            <family val="2"/>
          </rPr>
          <t>2012.8.24</t>
        </r>
        <r>
          <rPr>
            <sz val="9"/>
            <color indexed="81"/>
            <rFont val="宋体"/>
            <family val="3"/>
            <charset val="134"/>
          </rPr>
          <t>缴纳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12000</t>
        </r>
        <r>
          <rPr>
            <sz val="9"/>
            <color indexed="81"/>
            <rFont val="宋体"/>
            <family val="3"/>
            <charset val="134"/>
          </rPr>
          <t>元、餐费</t>
        </r>
        <r>
          <rPr>
            <sz val="9"/>
            <color indexed="81"/>
            <rFont val="Tahoma"/>
            <family val="2"/>
          </rPr>
          <t>2400</t>
        </r>
        <r>
          <rPr>
            <sz val="9"/>
            <color indexed="81"/>
            <rFont val="宋体"/>
            <family val="3"/>
            <charset val="134"/>
          </rPr>
          <t>元、一次性用品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元、杂费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元，共计</t>
        </r>
        <r>
          <rPr>
            <sz val="9"/>
            <color indexed="81"/>
            <rFont val="Tahoma"/>
            <family val="2"/>
          </rPr>
          <t>15700</t>
        </r>
        <r>
          <rPr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根据</t>
        </r>
        <r>
          <rPr>
            <sz val="9"/>
            <color indexed="81"/>
            <rFont val="Tahoma"/>
            <family val="2"/>
          </rPr>
          <t>2014.1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月份的出勤情况，退学费</t>
        </r>
        <r>
          <rPr>
            <sz val="9"/>
            <color indexed="81"/>
            <rFont val="Tahoma"/>
            <family val="2"/>
          </rPr>
          <t>1250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240</t>
        </r>
        <r>
          <rPr>
            <sz val="9"/>
            <color indexed="81"/>
            <rFont val="宋体"/>
            <family val="3"/>
            <charset val="134"/>
          </rPr>
          <t>元，用于抵扣舞蹈课费</t>
        </r>
        <r>
          <rPr>
            <sz val="9"/>
            <color indexed="81"/>
            <rFont val="Tahoma"/>
            <family val="2"/>
          </rPr>
          <t>960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530</t>
        </r>
        <r>
          <rPr>
            <sz val="9"/>
            <color indexed="81"/>
            <rFont val="宋体"/>
            <family val="3"/>
            <charset val="134"/>
          </rPr>
          <t>元，作为备用金，未退。</t>
        </r>
      </text>
    </comment>
    <comment ref="D8" authorId="1">
      <text>
        <r>
          <rPr>
            <sz val="9"/>
            <color indexed="81"/>
            <rFont val="Tahoma"/>
            <family val="2"/>
          </rPr>
          <t>2012.8.29</t>
        </r>
        <r>
          <rPr>
            <sz val="9"/>
            <color indexed="81"/>
            <rFont val="宋体"/>
            <family val="3"/>
            <charset val="134"/>
          </rPr>
          <t>缴纳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3000*6=18000</t>
        </r>
        <r>
          <rPr>
            <sz val="9"/>
            <color indexed="81"/>
            <rFont val="宋体"/>
            <family val="3"/>
            <charset val="134"/>
          </rPr>
          <t>、餐费</t>
        </r>
        <r>
          <rPr>
            <sz val="9"/>
            <color indexed="81"/>
            <rFont val="Tahoma"/>
            <family val="2"/>
          </rPr>
          <t>2400</t>
        </r>
        <r>
          <rPr>
            <sz val="9"/>
            <color indexed="81"/>
            <rFont val="宋体"/>
            <family val="3"/>
            <charset val="134"/>
          </rPr>
          <t>元、一次性用品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元、杂费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元、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校车费</t>
        </r>
        <r>
          <rPr>
            <sz val="9"/>
            <color indexed="81"/>
            <rFont val="Tahoma"/>
            <family val="2"/>
          </rPr>
          <t>1200</t>
        </r>
        <r>
          <rPr>
            <sz val="9"/>
            <color indexed="81"/>
            <rFont val="宋体"/>
            <family val="3"/>
            <charset val="134"/>
          </rPr>
          <t>元合计</t>
        </r>
        <r>
          <rPr>
            <sz val="9"/>
            <color indexed="81"/>
            <rFont val="Tahoma"/>
            <family val="2"/>
          </rPr>
          <t>22900</t>
        </r>
        <r>
          <rPr>
            <sz val="9"/>
            <color indexed="81"/>
            <rFont val="宋体"/>
            <family val="3"/>
            <charset val="134"/>
          </rPr>
          <t>元，减去已交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3000*6=18000</t>
        </r>
        <r>
          <rPr>
            <sz val="9"/>
            <color indexed="81"/>
            <rFont val="宋体"/>
            <family val="3"/>
            <charset val="134"/>
          </rPr>
          <t>元，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月手足口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元，实收</t>
        </r>
        <r>
          <rPr>
            <sz val="9"/>
            <color indexed="81"/>
            <rFont val="Tahoma"/>
            <family val="2"/>
          </rPr>
          <t>3400</t>
        </r>
        <r>
          <rPr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1">
      <text>
        <r>
          <rPr>
            <sz val="9"/>
            <color indexed="81"/>
            <rFont val="宋体"/>
            <family val="3"/>
            <charset val="134"/>
          </rPr>
          <t>6月手足口退学费1500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1">
      <text>
        <r>
          <rPr>
            <sz val="9"/>
            <color indexed="81"/>
            <rFont val="Tahoma"/>
            <family val="2"/>
          </rPr>
          <t>2012.9.10</t>
        </r>
        <r>
          <rPr>
            <sz val="9"/>
            <color indexed="81"/>
            <rFont val="宋体"/>
            <family val="3"/>
            <charset val="134"/>
          </rPr>
          <t>缴纳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3000*6=18000</t>
        </r>
        <r>
          <rPr>
            <sz val="9"/>
            <color indexed="81"/>
            <rFont val="宋体"/>
            <family val="3"/>
            <charset val="134"/>
          </rPr>
          <t>元、餐费</t>
        </r>
        <r>
          <rPr>
            <sz val="9"/>
            <color indexed="81"/>
            <rFont val="Tahoma"/>
            <family val="2"/>
          </rPr>
          <t>2400</t>
        </r>
        <r>
          <rPr>
            <sz val="9"/>
            <color indexed="81"/>
            <rFont val="宋体"/>
            <family val="3"/>
            <charset val="134"/>
          </rPr>
          <t>元、一次性用品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元、杂费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元共计</t>
        </r>
        <r>
          <rPr>
            <sz val="9"/>
            <color indexed="81"/>
            <rFont val="Tahoma"/>
            <family val="2"/>
          </rPr>
          <t>21700</t>
        </r>
        <r>
          <rPr>
            <sz val="9"/>
            <color indexed="81"/>
            <rFont val="宋体"/>
            <family val="3"/>
            <charset val="134"/>
          </rPr>
          <t>元，应退已交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18000</t>
        </r>
        <r>
          <rPr>
            <sz val="9"/>
            <color indexed="81"/>
            <rFont val="宋体"/>
            <family val="3"/>
            <charset val="134"/>
          </rPr>
          <t>元、餐费</t>
        </r>
        <r>
          <rPr>
            <sz val="9"/>
            <color indexed="81"/>
            <rFont val="Tahoma"/>
            <family val="2"/>
          </rPr>
          <t>1200</t>
        </r>
        <r>
          <rPr>
            <sz val="9"/>
            <color indexed="81"/>
            <rFont val="宋体"/>
            <family val="3"/>
            <charset val="134"/>
          </rPr>
          <t>元，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月手足口学费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>元，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月出勤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天半月学费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元共计</t>
        </r>
        <r>
          <rPr>
            <sz val="9"/>
            <color indexed="81"/>
            <rFont val="Tahoma"/>
            <family val="2"/>
          </rPr>
          <t>22300</t>
        </r>
        <r>
          <rPr>
            <sz val="9"/>
            <color indexed="81"/>
            <rFont val="宋体"/>
            <family val="3"/>
            <charset val="134"/>
          </rPr>
          <t>元，实际应退</t>
        </r>
        <r>
          <rPr>
            <sz val="9"/>
            <color indexed="81"/>
            <rFont val="Tahoma"/>
            <family val="2"/>
          </rPr>
          <t>600</t>
        </r>
        <r>
          <rPr>
            <sz val="9"/>
            <color indexed="81"/>
            <rFont val="宋体"/>
            <family val="3"/>
            <charset val="134"/>
          </rPr>
          <t>元，</t>
        </r>
        <r>
          <rPr>
            <sz val="9"/>
            <color indexed="81"/>
            <rFont val="Tahoma"/>
            <family val="2"/>
          </rPr>
          <t>2013.3.19</t>
        </r>
        <r>
          <rPr>
            <sz val="9"/>
            <color indexed="81"/>
            <rFont val="宋体"/>
            <family val="3"/>
            <charset val="134"/>
          </rPr>
          <t>已退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1">
      <text>
        <r>
          <rPr>
            <sz val="9"/>
            <color indexed="81"/>
            <rFont val="Tahoma"/>
            <family val="2"/>
          </rPr>
          <t>2012.8.15</t>
        </r>
        <r>
          <rPr>
            <sz val="9"/>
            <color indexed="81"/>
            <rFont val="宋体"/>
            <family val="3"/>
            <charset val="134"/>
          </rPr>
          <t>该生缴纳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2000*6=12000</t>
        </r>
        <r>
          <rPr>
            <sz val="9"/>
            <color indexed="81"/>
            <rFont val="宋体"/>
            <family val="3"/>
            <charset val="134"/>
          </rPr>
          <t>元，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餐费</t>
        </r>
        <r>
          <rPr>
            <sz val="9"/>
            <color indexed="81"/>
            <rFont val="Tahoma"/>
            <family val="2"/>
          </rPr>
          <t>400*6=2400</t>
        </r>
        <r>
          <rPr>
            <sz val="9"/>
            <color indexed="81"/>
            <rFont val="宋体"/>
            <family val="3"/>
            <charset val="134"/>
          </rPr>
          <t>元，校车费</t>
        </r>
        <r>
          <rPr>
            <sz val="9"/>
            <color indexed="81"/>
            <rFont val="Tahoma"/>
            <family val="2"/>
          </rPr>
          <t>200*6=1200</t>
        </r>
        <r>
          <rPr>
            <sz val="9"/>
            <color indexed="81"/>
            <rFont val="宋体"/>
            <family val="3"/>
            <charset val="134"/>
          </rPr>
          <t>元，一次性物品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元，杂费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元，共计</t>
        </r>
        <r>
          <rPr>
            <sz val="9"/>
            <color indexed="81"/>
            <rFont val="Tahoma"/>
            <family val="2"/>
          </rPr>
          <t>16900</t>
        </r>
        <r>
          <rPr>
            <sz val="9"/>
            <color indexed="81"/>
            <rFont val="宋体"/>
            <family val="3"/>
            <charset val="134"/>
          </rPr>
          <t>元整，应退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月半月学费</t>
        </r>
        <r>
          <rPr>
            <sz val="9"/>
            <color indexed="81"/>
            <rFont val="Tahoma"/>
            <family val="2"/>
          </rPr>
          <t>1100</t>
        </r>
        <r>
          <rPr>
            <sz val="9"/>
            <color indexed="81"/>
            <rFont val="宋体"/>
            <family val="3"/>
            <charset val="134"/>
          </rPr>
          <t>元，八月请一个月假，扣除</t>
        </r>
        <r>
          <rPr>
            <sz val="9"/>
            <color indexed="81"/>
            <rFont val="Tahoma"/>
            <family val="2"/>
          </rPr>
          <t>15%</t>
        </r>
        <r>
          <rPr>
            <sz val="9"/>
            <color indexed="81"/>
            <rFont val="宋体"/>
            <family val="3"/>
            <charset val="134"/>
          </rPr>
          <t>占位费，应退</t>
        </r>
        <r>
          <rPr>
            <sz val="9"/>
            <color indexed="81"/>
            <rFont val="Tahoma"/>
            <family val="2"/>
          </rPr>
          <t>2200-2200*15%=1870</t>
        </r>
        <r>
          <rPr>
            <sz val="9"/>
            <color indexed="81"/>
            <rFont val="宋体"/>
            <family val="3"/>
            <charset val="134"/>
          </rPr>
          <t>元，合计</t>
        </r>
        <r>
          <rPr>
            <sz val="9"/>
            <color indexed="81"/>
            <rFont val="Tahoma"/>
            <family val="2"/>
          </rPr>
          <t>2970</t>
        </r>
        <r>
          <rPr>
            <sz val="9"/>
            <color indexed="81"/>
            <rFont val="宋体"/>
            <family val="3"/>
            <charset val="134"/>
          </rPr>
          <t>元整，实际应收</t>
        </r>
        <r>
          <rPr>
            <sz val="9"/>
            <color indexed="81"/>
            <rFont val="Tahoma"/>
            <family val="2"/>
          </rPr>
          <t>13930</t>
        </r>
        <r>
          <rPr>
            <sz val="9"/>
            <color indexed="81"/>
            <rFont val="宋体"/>
            <family val="3"/>
            <charset val="134"/>
          </rPr>
          <t>元。</t>
        </r>
        <r>
          <rPr>
            <sz val="9"/>
            <color indexed="81"/>
            <rFont val="Tahoma"/>
            <family val="2"/>
          </rPr>
          <t>8.31</t>
        </r>
        <r>
          <rPr>
            <sz val="9"/>
            <color indexed="81"/>
            <rFont val="宋体"/>
            <family val="3"/>
            <charset val="134"/>
          </rPr>
          <t>前款项已清。
根据</t>
        </r>
        <r>
          <rPr>
            <sz val="9"/>
            <color indexed="81"/>
            <rFont val="Tahoma"/>
            <family val="2"/>
          </rPr>
          <t>2013.4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月份的出勤情况，退学费</t>
        </r>
        <r>
          <rPr>
            <sz val="9"/>
            <color indexed="81"/>
            <rFont val="Tahoma"/>
            <family val="2"/>
          </rPr>
          <t>6000</t>
        </r>
        <r>
          <rPr>
            <sz val="9"/>
            <color indexed="81"/>
            <rFont val="宋体"/>
            <family val="3"/>
            <charset val="134"/>
          </rPr>
          <t>元，用于抵扣学费</t>
        </r>
        <r>
          <rPr>
            <sz val="9"/>
            <color indexed="81"/>
            <rFont val="Tahoma"/>
            <family val="2"/>
          </rPr>
          <t>3000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2013.9.1-2013.9.30</t>
        </r>
        <r>
          <rPr>
            <sz val="9"/>
            <color indexed="81"/>
            <rFont val="宋体"/>
            <family val="3"/>
            <charset val="134"/>
          </rPr>
          <t>）以及杂费</t>
        </r>
        <r>
          <rPr>
            <sz val="9"/>
            <color indexed="81"/>
            <rFont val="Tahoma"/>
            <family val="2"/>
          </rPr>
          <t>480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400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2013.9.1-2013.9.30</t>
        </r>
        <r>
          <rPr>
            <sz val="9"/>
            <color indexed="81"/>
            <rFont val="宋体"/>
            <family val="3"/>
            <charset val="134"/>
          </rPr>
          <t>）班车费</t>
        </r>
        <r>
          <rPr>
            <sz val="9"/>
            <color indexed="81"/>
            <rFont val="Tahoma"/>
            <family val="2"/>
          </rPr>
          <t>400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2013.9.1-2013.9.30</t>
        </r>
        <r>
          <rPr>
            <sz val="9"/>
            <color indexed="81"/>
            <rFont val="宋体"/>
            <family val="3"/>
            <charset val="134"/>
          </rPr>
          <t>），剩余</t>
        </r>
        <r>
          <rPr>
            <sz val="9"/>
            <color indexed="81"/>
            <rFont val="Tahoma"/>
            <family val="2"/>
          </rPr>
          <t>1720</t>
        </r>
        <r>
          <rPr>
            <sz val="9"/>
            <color indexed="81"/>
            <rFont val="宋体"/>
            <family val="3"/>
            <charset val="134"/>
          </rPr>
          <t>元，作为备用金，</t>
        </r>
        <r>
          <rPr>
            <sz val="9"/>
            <color indexed="81"/>
            <rFont val="Tahoma"/>
            <family val="2"/>
          </rPr>
          <t>2013.9.24</t>
        </r>
        <r>
          <rPr>
            <sz val="9"/>
            <color indexed="81"/>
            <rFont val="宋体"/>
            <family val="3"/>
            <charset val="134"/>
          </rPr>
          <t>日备用金已退。</t>
        </r>
      </text>
    </comment>
    <comment ref="J10" authorId="1">
      <text>
        <r>
          <rPr>
            <sz val="9"/>
            <color indexed="81"/>
            <rFont val="Tahoma"/>
            <family val="2"/>
          </rPr>
          <t>1100</t>
        </r>
        <r>
          <rPr>
            <sz val="9"/>
            <color indexed="81"/>
            <rFont val="宋体"/>
            <family val="3"/>
            <charset val="134"/>
          </rPr>
          <t>为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月份出勤不到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天退半月学费，</t>
        </r>
        <r>
          <rPr>
            <sz val="9"/>
            <color indexed="81"/>
            <rFont val="Tahoma"/>
            <family val="2"/>
          </rPr>
          <t>2200-2200*15%</t>
        </r>
        <r>
          <rPr>
            <sz val="9"/>
            <color indexed="81"/>
            <rFont val="宋体"/>
            <family val="3"/>
            <charset val="134"/>
          </rPr>
          <t>为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月份请假一个月应退学费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根据2013.9、11月的出勤情况，退学费2500元，餐费420元，共计2920元，用于抵扣小提琴课费1600元，剩余1320元，作为备用金，2014.1.16备用金已退。
根据2014.1、2月份的出勤情况，退学费3250元，餐费595元，共计3845元，用于抵扣小提琴课费1600元以及美术课费960元，剩余1285元，作为备用金，未退。</t>
        </r>
      </text>
    </comment>
    <comment ref="D12" authorId="1">
      <text>
        <r>
          <rPr>
            <sz val="9"/>
            <color indexed="8"/>
            <rFont val="宋体"/>
            <family val="3"/>
            <charset val="134"/>
          </rPr>
          <t>2012.8.3缴纳2012.9.1-2013.2.28学费3000*6=18000元、餐费400*6=2400元、一次性用品1200元、杂费300元，应收合计21900元。应退餐费由360/月掉到200/月差额16*6=960元、六月蒙氏手足口学费1500元、餐费100元，应退合计2560元，实际收款19340元整。但由于老生一次性用品1000元，多收200元，2013.3.1日200元已退</t>
        </r>
      </text>
    </comment>
    <comment ref="G12" authorId="1">
      <text>
        <r>
          <rPr>
            <b/>
            <sz val="9"/>
            <color indexed="81"/>
            <rFont val="Tahoma"/>
            <family val="2"/>
          </rPr>
          <t>2012.8.3</t>
        </r>
        <r>
          <rPr>
            <b/>
            <sz val="9"/>
            <color indexed="81"/>
            <rFont val="宋体"/>
            <family val="3"/>
            <charset val="134"/>
          </rPr>
          <t>缴纳</t>
        </r>
        <r>
          <rPr>
            <b/>
            <sz val="9"/>
            <color indexed="81"/>
            <rFont val="Tahoma"/>
            <family val="2"/>
          </rPr>
          <t>1200+300=1500</t>
        </r>
        <r>
          <rPr>
            <b/>
            <sz val="9"/>
            <color indexed="81"/>
            <rFont val="宋体"/>
            <family val="3"/>
            <charset val="134"/>
          </rPr>
          <t>元由于是老生，一次性用品</t>
        </r>
        <r>
          <rPr>
            <b/>
            <sz val="9"/>
            <color indexed="81"/>
            <rFont val="Tahoma"/>
            <family val="2"/>
          </rPr>
          <t>1000</t>
        </r>
        <r>
          <rPr>
            <b/>
            <sz val="9"/>
            <color indexed="81"/>
            <rFont val="宋体"/>
            <family val="3"/>
            <charset val="134"/>
          </rPr>
          <t>元，多首</t>
        </r>
        <r>
          <rPr>
            <b/>
            <sz val="9"/>
            <color indexed="81"/>
            <rFont val="Tahoma"/>
            <family val="2"/>
          </rPr>
          <t>200</t>
        </r>
        <r>
          <rPr>
            <b/>
            <sz val="9"/>
            <color indexed="81"/>
            <rFont val="宋体"/>
            <family val="3"/>
            <charset val="134"/>
          </rPr>
          <t>元，顺延至</t>
        </r>
        <r>
          <rPr>
            <b/>
            <sz val="9"/>
            <color indexed="81"/>
            <rFont val="Tahoma"/>
            <family val="2"/>
          </rPr>
          <t>2013.3</t>
        </r>
        <r>
          <rPr>
            <b/>
            <sz val="9"/>
            <color indexed="81"/>
            <rFont val="宋体"/>
            <family val="3"/>
            <charset val="134"/>
          </rPr>
          <t>月份学费</t>
        </r>
      </text>
    </comment>
    <comment ref="J12" authorId="1">
      <text>
        <r>
          <rPr>
            <b/>
            <sz val="9"/>
            <color indexed="81"/>
            <rFont val="Tahoma"/>
            <family val="2"/>
          </rPr>
          <t>2012.8.3</t>
        </r>
        <r>
          <rPr>
            <b/>
            <sz val="9"/>
            <color indexed="81"/>
            <rFont val="宋体"/>
            <family val="3"/>
            <charset val="134"/>
          </rPr>
          <t>缴纳</t>
        </r>
        <r>
          <rPr>
            <b/>
            <sz val="9"/>
            <color indexed="81"/>
            <rFont val="Tahoma"/>
            <family val="2"/>
          </rPr>
          <t>2012.9.1-2013.2.28</t>
        </r>
        <r>
          <rPr>
            <b/>
            <sz val="9"/>
            <color indexed="81"/>
            <rFont val="宋体"/>
            <family val="3"/>
            <charset val="134"/>
          </rPr>
          <t>日学费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b/>
            <sz val="9"/>
            <color indexed="81"/>
            <rFont val="宋体"/>
            <family val="3"/>
            <charset val="134"/>
          </rPr>
          <t>扣除</t>
        </r>
        <r>
          <rPr>
            <b/>
            <sz val="9"/>
            <color indexed="81"/>
            <rFont val="Tahoma"/>
            <family val="2"/>
          </rPr>
          <t>2012.6</t>
        </r>
        <r>
          <rPr>
            <b/>
            <sz val="9"/>
            <color indexed="81"/>
            <rFont val="宋体"/>
            <family val="3"/>
            <charset val="134"/>
          </rPr>
          <t>月份手足口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宋体"/>
            <family val="3"/>
            <charset val="134"/>
          </rPr>
          <t>；</t>
        </r>
        <r>
          <rPr>
            <b/>
            <sz val="9"/>
            <color indexed="81"/>
            <rFont val="Tahoma"/>
            <family val="2"/>
          </rPr>
          <t>2012.8.3</t>
        </r>
        <r>
          <rPr>
            <b/>
            <sz val="9"/>
            <color indexed="81"/>
            <rFont val="宋体"/>
            <family val="3"/>
            <charset val="134"/>
          </rPr>
          <t>缴纳</t>
        </r>
        <r>
          <rPr>
            <b/>
            <sz val="9"/>
            <color indexed="81"/>
            <rFont val="Tahoma"/>
            <family val="2"/>
          </rPr>
          <t>1200+300=1500</t>
        </r>
        <r>
          <rPr>
            <b/>
            <sz val="9"/>
            <color indexed="81"/>
            <rFont val="宋体"/>
            <family val="3"/>
            <charset val="134"/>
          </rPr>
          <t>元由于是老生，一次性用品</t>
        </r>
        <r>
          <rPr>
            <b/>
            <sz val="9"/>
            <color indexed="81"/>
            <rFont val="Tahoma"/>
            <family val="2"/>
          </rPr>
          <t>1000</t>
        </r>
        <r>
          <rPr>
            <b/>
            <sz val="9"/>
            <color indexed="81"/>
            <rFont val="宋体"/>
            <family val="3"/>
            <charset val="134"/>
          </rPr>
          <t>元，多首</t>
        </r>
        <r>
          <rPr>
            <b/>
            <sz val="9"/>
            <color indexed="81"/>
            <rFont val="Tahoma"/>
            <family val="2"/>
          </rPr>
          <t>200</t>
        </r>
        <r>
          <rPr>
            <b/>
            <sz val="9"/>
            <color indexed="81"/>
            <rFont val="宋体"/>
            <family val="3"/>
            <charset val="134"/>
          </rPr>
          <t>元，顺延至</t>
        </r>
        <r>
          <rPr>
            <b/>
            <sz val="9"/>
            <color indexed="81"/>
            <rFont val="Tahoma"/>
            <family val="2"/>
          </rPr>
          <t>2013.3</t>
        </r>
        <r>
          <rPr>
            <b/>
            <sz val="9"/>
            <color indexed="81"/>
            <rFont val="宋体"/>
            <family val="3"/>
            <charset val="134"/>
          </rPr>
          <t>月份学费</t>
        </r>
      </text>
    </comment>
    <comment ref="M12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由于政策2012.2月份调整餐费由每月360元调整200差额调整4个半月，在2012.8月交费时补齐。餐费2012.8.3日缴纳餐费补齐到2013.2.28，扣除2012.6月份手足口餐费100元400*6-160*6-100=1340元整</t>
        </r>
      </text>
    </comment>
    <comment ref="D1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多出3个月的班车费</t>
        </r>
      </text>
    </comment>
    <comment ref="D15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2013.10、11月的出勤情况，退学费1250元，退餐费270元，共计1520元，用于抵扣餐费400元（2013.12.1-2013.12.31），剩余1120元，作为备用金，2013.12.19备用金用于抵扣餐费400元（2014.1.1-2014.1.31），剩余720元，作为备用金，2014.1.15备用金已退。
根据2014.1、2月份的出勤情况退学费3250元，餐费150元，共计3400元，用于抵扣小提琴课费1600元，剩余1800元，作为备用金，未退。</t>
        </r>
      </text>
    </comment>
    <comment ref="G16" authorId="1">
      <text>
        <r>
          <rPr>
            <sz val="9"/>
            <color indexed="81"/>
            <rFont val="Tahoma"/>
            <family val="2"/>
          </rPr>
          <t>800</t>
        </r>
        <r>
          <rPr>
            <sz val="9"/>
            <color indexed="81"/>
            <rFont val="宋体"/>
            <family val="3"/>
            <charset val="134"/>
          </rPr>
          <t>为</t>
        </r>
        <r>
          <rPr>
            <sz val="9"/>
            <color indexed="81"/>
            <rFont val="Tahoma"/>
            <family val="2"/>
          </rPr>
          <t>2012.5.8</t>
        </r>
        <r>
          <rPr>
            <sz val="9"/>
            <color indexed="81"/>
            <rFont val="宋体"/>
            <family val="3"/>
            <charset val="134"/>
          </rPr>
          <t>缴纳杂费</t>
        </r>
      </text>
    </comment>
    <comment ref="D18" authorId="2">
      <text>
        <r>
          <rPr>
            <sz val="9"/>
            <color indexed="81"/>
            <rFont val="宋体"/>
            <family val="3"/>
            <charset val="134"/>
          </rPr>
          <t xml:space="preserve">陆泓铭小朋友9月11月的出勤情况，学费1000元餐费255元，校车费200元，应退1455元，用于抵2013.1月份的餐费，剩余备用金1055元，
2013.2.26备用金1055元已退.
根据陆泓铭2013.2月份的出勤情况，退学费1500元，校车费200元，用于抵扣2013.4、5、6月份餐费，剩余500元，作为备用金，2013.6.25备用金用于抵扣2013.7.1-2013.7.31餐费，剩余100元，2013.9.2已退
</t>
        </r>
      </text>
    </comment>
    <comment ref="D20" authorId="2">
      <text>
        <r>
          <rPr>
            <sz val="9"/>
            <color indexed="81"/>
            <rFont val="宋体"/>
            <family val="3"/>
            <charset val="134"/>
          </rPr>
          <t>根据2013.2、4、5、6、7、8月份的出勤情况，退学费4375元，餐费1325元，班车费200元，共计5900元，用于抵扣杂费（2013.9.1-2014.2.28）餐费2400元（2013.9.1-2014.2.28）和趣味美术课费60*16=960元，剩余1940元，作为备用金。2013.10.31用于抵扣班车费1600元（2013.11.1-2014.2.28），剩余340元，作为备用金，2014.1.10备用金已退。</t>
        </r>
      </text>
    </comment>
    <comment ref="H20" authorId="1">
      <text>
        <r>
          <rPr>
            <sz val="9"/>
            <color indexed="81"/>
            <rFont val="Tahoma"/>
            <family val="2"/>
          </rPr>
          <t>2012.8.10</t>
        </r>
        <r>
          <rPr>
            <sz val="9"/>
            <color indexed="81"/>
            <rFont val="宋体"/>
            <family val="3"/>
            <charset val="134"/>
          </rPr>
          <t>校车费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2" authorId="2">
      <text>
        <r>
          <rPr>
            <sz val="9"/>
            <color indexed="81"/>
            <rFont val="宋体"/>
            <family val="3"/>
            <charset val="134"/>
          </rPr>
          <t>根据梁思聪小朋友2013.2月份的出勤情况，退学费2000元，班车费200元，合计2200元，用于抵扣2013.4、5、6月份餐费以及趣味美术课费16*60=960元，剩余40元，作为备用金，2013.6.19已退。
根据2013.8月份的出勤情况，退学费2000元，用于抵扣轮滑课费和跆拳道课费55*16+55*16=1760元，剩余240元，作为备用金，2013.9.17备用金已退。</t>
        </r>
      </text>
    </comment>
    <comment ref="A2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2013.8月</t>
        </r>
      </text>
    </comment>
    <comment ref="D2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李莎莎老师的亲属        
根据董玹小朋友12、1、2月的出勤情况，退学费1000元，餐费225元，共计1225元，以上用于抵扣2013.3、4、5月餐费，剩余25元，作为备用金，2013.5.24日已退。
根据董玹小朋友2013.5月的出勤情况，退学费1000元，餐费180元，共计1180元，用于抵扣餐费（2013.7.1-2013.8.31），剩余380元，作为备用金，未退。
根据_董玹_小朋友在  2013.6、7 月的出勤情况，幼儿园应退保教费__1000__元、餐费__255__元，共计___1255_元。备用金380元，共计1635元以上金额用于 抵扣餐费（2013.9.1-2013.10.31），杂费600元（2013.9.1-2014.2.28）剩余235元，作为备用金，未退。2013.12.13备用金已退。</t>
        </r>
      </text>
    </comment>
    <comment ref="G2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一次性物品+2012.9.1-2013.8.31杂费（2学期）</t>
        </r>
      </text>
    </comment>
    <comment ref="G24" authorId="1">
      <text>
        <r>
          <rPr>
            <b/>
            <sz val="9"/>
            <color indexed="81"/>
            <rFont val="宋体"/>
            <family val="3"/>
            <charset val="134"/>
          </rPr>
          <t>先交五百定金7.5交学费</t>
        </r>
      </text>
    </comment>
    <comment ref="D25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根据2014.2月份的出勤情况，退学费1750元，餐费105元，共计1855元，用于抵扣舞蹈课费960元，剩余895元，作为备用金。未退。</t>
        </r>
      </text>
    </comment>
    <comment ref="G25" authorId="1">
      <text>
        <r>
          <rPr>
            <sz val="9"/>
            <color indexed="81"/>
            <rFont val="Tahoma"/>
            <family val="2"/>
          </rPr>
          <t>2012.6.30</t>
        </r>
        <r>
          <rPr>
            <sz val="9"/>
            <color indexed="81"/>
            <rFont val="宋体"/>
            <family val="3"/>
            <charset val="134"/>
          </rPr>
          <t>交报名费，</t>
        </r>
        <r>
          <rPr>
            <sz val="9"/>
            <color indexed="81"/>
            <rFont val="Tahoma"/>
            <family val="2"/>
          </rPr>
          <t>7.5</t>
        </r>
        <r>
          <rPr>
            <sz val="9"/>
            <color indexed="81"/>
            <rFont val="宋体"/>
            <family val="3"/>
            <charset val="134"/>
          </rPr>
          <t>交学费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" authorId="1">
      <text>
        <r>
          <rPr>
            <b/>
            <sz val="9"/>
            <color indexed="81"/>
            <rFont val="宋体"/>
            <family val="3"/>
            <charset val="134"/>
          </rPr>
          <t>有</t>
        </r>
        <r>
          <rPr>
            <b/>
            <sz val="9"/>
            <color indexed="81"/>
            <rFont val="Tahoma"/>
            <family val="2"/>
          </rPr>
          <t>100</t>
        </r>
        <r>
          <rPr>
            <b/>
            <sz val="9"/>
            <color indexed="81"/>
            <rFont val="宋体"/>
            <family val="3"/>
            <charset val="134"/>
          </rPr>
          <t>代金券</t>
        </r>
      </text>
    </comment>
    <comment ref="D26" authorId="2">
      <text>
        <r>
          <rPr>
            <sz val="9"/>
            <color indexed="81"/>
            <rFont val="宋体"/>
            <family val="3"/>
            <charset val="134"/>
          </rPr>
          <t xml:space="preserve">根据丁若然小朋友2013.2、3、4、5、6月份的出勤情况，退学费1750元，餐费300元，班车费200元，共计2250元，用于抵扣钢琴课费16*100=1600元，剩余650元，作为备用金，2013.7.30日备用金650元用于抵扣杂费2013.9.1-2014.2.28，剩余50元，作为备用金，2014.1.9备用金已退。
</t>
        </r>
      </text>
    </comment>
    <comment ref="D2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根据2014.1、2月份的出勤情况退学费2000元，餐费475元，共计2475元，用于抵扣舞蹈课费（4-6）960元，剩余1515元，作为备用金，未退。</t>
        </r>
      </text>
    </comment>
    <comment ref="D29" authorId="2">
      <text>
        <r>
          <rPr>
            <sz val="9"/>
            <color indexed="81"/>
            <rFont val="宋体"/>
            <family val="3"/>
            <charset val="134"/>
          </rPr>
          <t>根据高圣钧小朋友2013.2、3月的出勤情况，退学费1250元，餐费195元，共计1445元，用于抵扣餐费（2013.5.1-2013.7.31），剩余245元，作为备用金，
根据2013.8月份的出勤情况退学费2000元，加上备用金共计2245元，用于抵扣餐费（2013.10.1-2014.2.28）剩余245元，作为备用金，2013.10.24备用金已退。
由于2014.5月校车改路线，退给其剩余4个月的校车费，并给予一个月的补偿，共2000元，作为备用金，未退。</t>
        </r>
      </text>
    </comment>
    <comment ref="G29" authorId="1">
      <text>
        <r>
          <rPr>
            <sz val="9"/>
            <color indexed="81"/>
            <rFont val="宋体"/>
            <family val="3"/>
            <charset val="134"/>
          </rPr>
          <t>一次性用品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宋体"/>
            <family val="3"/>
            <charset val="134"/>
          </rPr>
          <t>杂费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9" authorId="1">
      <text>
        <r>
          <rPr>
            <sz val="9"/>
            <color indexed="81"/>
            <rFont val="宋体"/>
            <family val="3"/>
            <charset val="134"/>
          </rPr>
          <t>期间有</t>
        </r>
        <r>
          <rPr>
            <sz val="9"/>
            <color indexed="81"/>
            <rFont val="Tahoma"/>
            <family val="2"/>
          </rPr>
          <t>2012.10.1-2013.3.31</t>
        </r>
        <r>
          <rPr>
            <sz val="9"/>
            <color indexed="81"/>
            <rFont val="宋体"/>
            <family val="3"/>
            <charset val="134"/>
          </rPr>
          <t>改为</t>
        </r>
        <r>
          <rPr>
            <sz val="9"/>
            <color indexed="81"/>
            <rFont val="Tahoma"/>
            <family val="2"/>
          </rPr>
          <t xml:space="preserve">2012.9.1-2013.2.28
</t>
        </r>
      </text>
    </comment>
    <comment ref="G30" authorId="1">
      <text>
        <r>
          <rPr>
            <b/>
            <sz val="9"/>
            <color indexed="81"/>
            <rFont val="宋体"/>
            <family val="3"/>
            <charset val="134"/>
          </rPr>
          <t>报名费</t>
        </r>
      </text>
    </comment>
    <comment ref="H30" authorId="1">
      <text>
        <r>
          <rPr>
            <b/>
            <sz val="9"/>
            <color indexed="81"/>
            <rFont val="宋体"/>
            <family val="3"/>
            <charset val="134"/>
          </rPr>
          <t>先交</t>
        </r>
        <r>
          <rPr>
            <b/>
            <sz val="9"/>
            <color indexed="81"/>
            <rFont val="Tahoma"/>
            <family val="2"/>
          </rPr>
          <t>1000</t>
        </r>
        <r>
          <rPr>
            <b/>
            <sz val="9"/>
            <color indexed="81"/>
            <rFont val="宋体"/>
            <family val="3"/>
            <charset val="134"/>
          </rPr>
          <t>的报名费</t>
        </r>
      </text>
    </comment>
    <comment ref="D31" authorId="2">
      <text>
        <r>
          <rPr>
            <sz val="9"/>
            <color indexed="81"/>
            <rFont val="宋体"/>
            <family val="3"/>
            <charset val="134"/>
          </rPr>
          <t xml:space="preserve">根据王艺霖2013.2月份的出勤情况，退学费1000元，餐费105元，共计1105元，用于抵扣2013.3、4月份校车费，剩余305元，作为备用金，2013.9.5备用金已退
</t>
        </r>
      </text>
    </comment>
    <comment ref="G31" authorId="1">
      <text>
        <r>
          <rPr>
            <b/>
            <sz val="9"/>
            <color indexed="81"/>
            <rFont val="宋体"/>
            <family val="3"/>
            <charset val="134"/>
          </rPr>
          <t>先交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宋体"/>
            <family val="3"/>
            <charset val="134"/>
          </rPr>
          <t>报名费</t>
        </r>
      </text>
    </comment>
    <comment ref="D32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王馨仪妈妈介绍飞马座朱宣同入园，有</t>
        </r>
        <r>
          <rPr>
            <sz val="9"/>
            <color indexed="81"/>
            <rFont val="Tahoma"/>
            <family val="2"/>
          </rPr>
          <t>800</t>
        </r>
        <r>
          <rPr>
            <sz val="9"/>
            <color indexed="81"/>
            <rFont val="宋体"/>
            <family val="3"/>
            <charset val="134"/>
          </rPr>
          <t>元代金券。由于</t>
        </r>
        <r>
          <rPr>
            <sz val="9"/>
            <color indexed="81"/>
            <rFont val="Tahoma"/>
            <family val="2"/>
          </rPr>
          <t>2014.5</t>
        </r>
        <r>
          <rPr>
            <sz val="9"/>
            <color indexed="81"/>
            <rFont val="宋体"/>
            <family val="3"/>
            <charset val="134"/>
          </rPr>
          <t>月校车改路线，退给其剩余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个月的校车费，并给予一个月的补偿，共</t>
        </r>
        <r>
          <rPr>
            <sz val="9"/>
            <color indexed="81"/>
            <rFont val="Tahoma"/>
            <family val="2"/>
          </rPr>
          <t>2000</t>
        </r>
        <r>
          <rPr>
            <sz val="9"/>
            <color indexed="81"/>
            <rFont val="宋体"/>
            <family val="3"/>
            <charset val="134"/>
          </rPr>
          <t>元，作为备用金，未退。</t>
        </r>
        <r>
          <rPr>
            <sz val="9"/>
            <color indexed="81"/>
            <rFont val="Tahoma"/>
            <family val="2"/>
          </rPr>
          <t>2014.6.12</t>
        </r>
        <r>
          <rPr>
            <sz val="9"/>
            <color indexed="81"/>
            <rFont val="宋体"/>
            <family val="3"/>
            <charset val="134"/>
          </rPr>
          <t>备用金已退，代金券已用完，用于抵扣两期小提琴课费</t>
        </r>
      </text>
    </comment>
    <comment ref="H33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2">
      <text>
        <r>
          <rPr>
            <sz val="9"/>
            <color indexed="81"/>
            <rFont val="宋体"/>
            <family val="3"/>
            <charset val="134"/>
          </rPr>
          <t xml:space="preserve">根据衣宇嘉小朋友2013.2月份的出勤情况，应退学费2000元，餐费400元，校车费200元，共计2600元，用于抵扣餐费（2013.4.1-2013.8.31），剩余600元，作为备用金，2013.8.5备用金600元已退。
</t>
        </r>
      </text>
    </comment>
    <comment ref="D3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事业部：高海轩、吴园长特批</t>
        </r>
      </text>
    </comment>
    <comment ref="D39" authorId="2">
      <text>
        <r>
          <rPr>
            <sz val="9"/>
            <color indexed="81"/>
            <rFont val="宋体"/>
            <family val="3"/>
            <charset val="134"/>
          </rPr>
          <t xml:space="preserve">
根据杨颜泽2013.1、2月份的出勤情况，退学费2000元，退餐费45元，校车费200元，共计2245元，2013.3.25日备用金已退。
根据2013.8月份的出勤情况，退学费2000元，用于抵扣餐费2013.10.1-2013.10.31，剩余1600元，作为备用金，2013.10.28备用金用于抵扣餐费2013.11.1-2013.12.31，剩余800元，2013.12.16备用金用于抵扣餐费400元（2014.1.1-2014.1.31），剩余400元，作为备用金，2014.1.17备用金已退。</t>
        </r>
      </text>
    </comment>
    <comment ref="D40" authorId="2">
      <text>
        <r>
          <rPr>
            <sz val="9"/>
            <color indexed="81"/>
            <rFont val="宋体"/>
            <family val="3"/>
            <charset val="134"/>
          </rPr>
          <t xml:space="preserve">
根据2013.8月的出勤情况，退学费2000元，用于抵扣餐费（2013.10.1-2014.2.28），无剩余。
根据2014.1、2月份的出勤情况，退学费3250元，餐费595元，共计3845元，用于抵扣钢琴课费1600元，剩余2245元，作为备用金，未退。用于抵扣钢琴课费1600元，剩余645元，作为备用金，未退。</t>
        </r>
      </text>
    </comment>
    <comment ref="D41" authorId="2">
      <text>
        <r>
          <rPr>
            <sz val="9"/>
            <color indexed="81"/>
            <rFont val="宋体"/>
            <family val="3"/>
            <charset val="134"/>
          </rPr>
          <t xml:space="preserve">
根据张芷兰小朋友2013.3月份的出勤情况，退学费1250元，餐费165元，共计1415元，用于抵扣餐费（2013.5.1-2013.7.31），剩余215元，作为备用金，未退。2013.9.11备用金已退。
2013.12.19根据2013.10、11月份的出勤情况，退学费1250元，餐费255元，用于抵扣餐费400元（2014.1.1-2014.1.31），剩余1105元，加上轮滑课费880元，共计1985元，作为备用金，2014.3.4备用金已退。</t>
        </r>
      </text>
    </comment>
    <comment ref="D43" authorId="2">
      <text>
        <r>
          <rPr>
            <sz val="9"/>
            <color indexed="81"/>
            <rFont val="宋体"/>
            <family val="3"/>
            <charset val="134"/>
          </rPr>
          <t>根据任泽蓬小朋友2013.2月份的出勤情况，退学费2000元，用于抵扣餐费（2013.4.1-2013.8.31），无剩余。
根据2013.8、9、10、11月份的出勤情况，退学费7750元，餐费520元，共计8270元，用于抵扣餐费220+400*3=1420元（2013.11.1-2014.2.28），剩余6850元，作为备用金，2014.3.3备用金已退。</t>
        </r>
      </text>
    </comment>
    <comment ref="D44" authorId="2">
      <text>
        <r>
          <rPr>
            <b/>
            <sz val="9"/>
            <color indexed="81"/>
            <rFont val="宋体"/>
            <family val="3"/>
            <charset val="134"/>
          </rPr>
          <t>校车费已退2012.10.23  共计1189元整（扣除手续费1200*0.9%=10.8）</t>
        </r>
        <r>
          <rPr>
            <sz val="9"/>
            <color indexed="81"/>
            <rFont val="宋体"/>
            <family val="3"/>
            <charset val="134"/>
          </rPr>
          <t xml:space="preserve">
根据章梓钊小朋友2013.3、4月份的出勤情况，退学费3000元，餐费520元，共计3520元，用于抵扣2013.5、6、7、8月份餐费，剩余1920元，2013.5.14日已退。</t>
        </r>
      </text>
    </comment>
    <comment ref="D45" authorId="2">
      <text>
        <r>
          <rPr>
            <sz val="9"/>
            <color indexed="81"/>
            <rFont val="宋体"/>
            <family val="3"/>
            <charset val="134"/>
          </rPr>
          <t xml:space="preserve">根据聂琳晓小朋友2013.2月份的出勤情况，退学费2000元，餐费400元，校车费200元，共计2600元，用于抵扣餐费（2013.4.1-2013.8.31）剩余600元，作为备用金，2013.8.1日备用金已退。
</t>
        </r>
      </text>
    </comment>
    <comment ref="D46" authorId="2">
      <text>
        <r>
          <rPr>
            <b/>
            <sz val="9"/>
            <color indexed="81"/>
            <rFont val="宋体"/>
            <family val="3"/>
            <charset val="134"/>
          </rPr>
          <t>zhaoys:幼儿园与孩子家长有合作关系（地暖）</t>
        </r>
        <r>
          <rPr>
            <sz val="9"/>
            <color indexed="81"/>
            <rFont val="宋体"/>
            <family val="3"/>
            <charset val="134"/>
          </rPr>
          <t xml:space="preserve">
根据2014.1、2月份的出勤情况，退学费2300元，餐费505元，共计2805元，用于抵扣舞蹈课费880元以及小小厨师课费880元，剩余1045元，作为备用金，未退。</t>
        </r>
      </text>
    </comment>
    <comment ref="D47" authorId="2">
      <text>
        <r>
          <rPr>
            <sz val="9"/>
            <color indexed="81"/>
            <rFont val="宋体"/>
            <family val="3"/>
            <charset val="134"/>
          </rPr>
          <t>张总的亲戚</t>
        </r>
      </text>
    </comment>
    <comment ref="A4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2013.8、9、11、2014.1退餐费</t>
        </r>
      </text>
    </comment>
    <comment ref="D48" authorId="2">
      <text>
        <r>
          <rPr>
            <sz val="9"/>
            <color indexed="81"/>
            <rFont val="宋体"/>
            <family val="3"/>
            <charset val="134"/>
          </rPr>
          <t xml:space="preserve">董总的孩子，只交了保险费，其他费用未交
</t>
        </r>
      </text>
    </comment>
    <comment ref="D52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b/>
            <sz val="9"/>
            <color indexed="10"/>
            <rFont val="宋体"/>
            <family val="3"/>
            <charset val="134"/>
          </rPr>
          <t>餐费300元/月</t>
        </r>
        <r>
          <rPr>
            <sz val="9"/>
            <color indexed="81"/>
            <rFont val="宋体"/>
            <family val="3"/>
            <charset val="134"/>
          </rPr>
          <t xml:space="preserve">
根据卢韵泽2013.1、2月份出勤情况，退学费3000元，餐费475元，共计3475元，用于抵扣餐费（2013.3.1-2013.5.31）以及杂费300元（2013.3.1-2013.8.31），剩余2275元，作为备用金，2013.3.12日，备用金2275元用于抵扣校车费400*2（2013.3.1-2013.4.30），剩余1475元，作为备用金，2013.4.25日用于抵扣班车费（2013.5.1-2013.6.30）以及餐费300*2（2013.6.1-2013.7.31），剩余75元，作为备用金，未退。
根据2013.5、6月份的考勤退餐费195元，学费1750元，共计1945元，加上备用金75元，共计2020元，2013.7.24用于抵扣班车费2013.8.1-2013.8.31，剩余1620元，作为备用金，未退。
2013.8.26备用金1620元已退。
2013.10.30根据2013.8、9月份的出勤情况，退学费3000元，餐费135元，共计3135元，用于抵扣班车费1200元（2013.10.1-2013.12.31）以及餐费300元（2013.12.1-2013.12.31），剩余1635元，作为备用金，加上2013.10月份应退学费3000元，餐费300元，共计4935元，用于抵扣餐费600元（2014.1.1-2014.2.28）以及班车费800元（2014.1.1-2014.2.28），剩余3535元，作为备用金，2014.1.26备用金已退。</t>
        </r>
      </text>
    </comment>
    <comment ref="D53" authorId="2">
      <text>
        <r>
          <rPr>
            <sz val="9"/>
            <color indexed="81"/>
            <rFont val="宋体"/>
            <family val="3"/>
            <charset val="134"/>
          </rPr>
          <t>根据刘凭瑞小朋友2013.3、4月份的出勤情况，退学费3250元，餐费670元，共计3920元，用于抵扣2013.6、7、8月份餐费，剩余2720元，作为备用金，2013.8.6备用金已退。
根据2013.8月份的出勤情况退学费1250元，餐费150元，共计1400元，用于抵扣餐费（2013.10.1-2013.12.31），剩余200元，作为备用金，根据2013.9、10、11月的出清情况，退学费1250元，餐费640元，加上备用金200元，共计2090元，2013.12.11用于抵扣餐费400*2=800元（2014.1.1-2014.2.28），剩余1290元，作为备用金，2014.1.10已退。</t>
        </r>
      </text>
    </comment>
    <comment ref="D54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开发票</t>
        </r>
      </text>
    </comment>
    <comment ref="D55" authorId="2">
      <text>
        <r>
          <rPr>
            <sz val="9"/>
            <color indexed="81"/>
            <rFont val="宋体"/>
            <family val="3"/>
            <charset val="134"/>
          </rPr>
          <t>根据2013.8月份的出勤情况，退学费2000元，用于抵扣餐费（2013.10.1-2013.10.31），剩余1600元，作为备用金，
2013.10.15用于抵扣餐费2013.11.1-2013.11.30，剩余1200元，2013.12.2备用金用于抵扣餐费400元（2013.12.1-2013.12.31），剩余800元，作为备用金，2014.1.23备用金已退。
根据2014.1、2月份的出勤情况，退学费4000元，用于抵扣小提琴课费1600元，餐费2400元（2014.3.1-2014.8.31），无剩余。</t>
        </r>
      </text>
    </comment>
    <comment ref="A56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2013.8退餐费</t>
        </r>
      </text>
    </comment>
    <comment ref="A57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2013.8退餐费</t>
        </r>
      </text>
    </comment>
    <comment ref="D59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根据2014.1月份的出勤情况，退学费1250元，餐费195元，共计1445元，用于抵扣泥塑课费以及材料费1010元（2.5-4），剩余435元，扣除290*0.78%=2.2的手续费，剩余432.8元，作为备用金，已退。</t>
        </r>
      </text>
    </comment>
    <comment ref="D61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8月份不来  应退学费3000元，用于抵扣杂费600元2013.9.1-2014.2.28，餐费2400元（2013.9.1-2014.2.28）</t>
        </r>
      </text>
    </comment>
    <comment ref="D62" authorId="2">
      <text>
        <r>
          <rPr>
            <sz val="9"/>
            <color indexed="81"/>
            <rFont val="宋体"/>
            <family val="3"/>
            <charset val="134"/>
          </rPr>
          <t>根据陈博延小朋友2013.4月份订的出勤情况，退学费1750元，餐费 165元，共计1915元，用于抵扣2013.5、6、7、8月份餐费，剩余315元，作为备用金，2013.8.21备用金已退。
2014.3.20小小厨师换成美术课，剩余150元材料费，作为备用金，未退。</t>
        </r>
      </text>
    </comment>
    <comment ref="D6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根据2014.1月份的出勤情况，退学费1250元，用于抵扣餐费2014.1.1-2014.1.31，补交205元，剩余1045元，作为备用金,2014.3.21备用金已退。</t>
        </r>
      </text>
    </comment>
    <comment ref="D64" authorId="2">
      <text>
        <r>
          <rPr>
            <sz val="9"/>
            <color indexed="81"/>
            <rFont val="宋体"/>
            <family val="3"/>
            <charset val="134"/>
          </rPr>
          <t xml:space="preserve">根据2013.3月份的出勤情况，退学费2000元，用于抵扣餐费（2013.4.1-2013.8.31），无剩余。
</t>
        </r>
      </text>
    </comment>
    <comment ref="D65" authorId="2">
      <text>
        <r>
          <rPr>
            <sz val="9"/>
            <color indexed="81"/>
            <rFont val="宋体"/>
            <family val="3"/>
            <charset val="134"/>
          </rPr>
          <t>根据 2013.8月的出勤情况，退学费1250元，餐费180元，共计1430元，用于抵扣舞蹈课费960元以及餐费400元（2013.10.1-2013.10.31），剩余70元作为备用金，2013.9.9备用金已退。
根据2014.2月份的出勤情况，退学费1250元，餐费135元，共计1385元，用于抵扣美术课费800元，剩余585元，作为备用金，2014.3.26备用金已退。</t>
        </r>
      </text>
    </comment>
    <comment ref="D67" authorId="2">
      <text>
        <r>
          <rPr>
            <sz val="9"/>
            <color indexed="81"/>
            <rFont val="宋体"/>
            <family val="3"/>
            <charset val="134"/>
          </rPr>
          <t xml:space="preserve">
根据2013.8月份的出勤情况，退学费2125元，餐费165元，共计2290元，用于抵扣轮滑课费55*16（初级）以及泥塑课费55*16，剩余530元，作为备用金，2014.2.18用于抵扣餐费400元2014.2.1-2014.2.28，剩余130元，作为备用金，2014.2.20备用金已退。</t>
        </r>
      </text>
    </comment>
    <comment ref="D68" authorId="2">
      <text>
        <r>
          <rPr>
            <sz val="9"/>
            <color indexed="81"/>
            <rFont val="宋体"/>
            <family val="3"/>
            <charset val="134"/>
          </rPr>
          <t>根据钟艺宝小朋友2013.5月的出勤情况，应退学费1520元，餐费195元，共计1715元，用于抵扣餐费（2013.6.1-2013.8.31），剩余515元，作为备用金，2013.9.2已退
2013.12.26根据2013.11月份的出勤情况，退学费1520元，餐费150元，共计1670元，用于抵扣餐费800元（2014.1.1-2014.2.28），剩余870元，作为备用金，2014.1.7备用金已退。
根据2014.1、2月份的出勤情况，退学费1520元，餐费150元，共计1670元，用于抵扣小提琴课费1600元，剩余70元，作为备用金，未退。</t>
        </r>
      </text>
    </comment>
    <comment ref="D7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根据2014.1月份的出勤情况退学费1250元，餐费255（现金）元，共计1505元，用于抵扣美术课费960元+材料费50元，剩余495元，作为备用金，未退。</t>
        </r>
      </text>
    </comment>
    <comment ref="D72" authorId="2">
      <text>
        <r>
          <rPr>
            <sz val="9"/>
            <color indexed="81"/>
            <rFont val="宋体"/>
            <family val="3"/>
            <charset val="134"/>
          </rPr>
          <t xml:space="preserve">
根据何瑞希2013.5、6、7月的出勤情况，退学费3250元，餐费490元，共计3740元，用于抵扣餐费2400元(2013.9.1-2014.2.28)，杂费600元（2013.9.1-2014.2.28）以及补交2013.7月份的餐费，剩余520元，作为备用金，2014.3.11备用金已退。</t>
        </r>
      </text>
    </comment>
    <comment ref="A7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2013.7月、2014.1、2月</t>
        </r>
      </text>
    </comment>
    <comment ref="D7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李刚的孩子</t>
        </r>
      </text>
    </comment>
    <comment ref="D74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根据2013.9、10月份的出勤情况，退学费2000元，餐费460元，共计2460元，用于抵扣餐费1600元（2013.11.1-2014.2.28），剩余860元，作为备用金，未退。2014.3.27备用金已退</t>
        </r>
      </text>
    </comment>
    <comment ref="D75" authorId="2">
      <text>
        <r>
          <rPr>
            <sz val="9"/>
            <color indexed="81"/>
            <rFont val="宋体"/>
            <family val="3"/>
            <charset val="134"/>
          </rPr>
          <t>入园时开发票“伊特克斯惰性气体系统（北京）有限公司
根据2014.2月份的出清情况，退学费1615元，餐费135元，共计1750元，用于抵扣钢琴课费1600元，剩余150元，作为备用金，2014.3.17备用金已退。</t>
        </r>
      </text>
    </comment>
    <comment ref="G75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2013.8月份杂费免</t>
        </r>
      </text>
    </comment>
    <comment ref="G76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2013.8月份的杂费480元，用于抵扣餐费。</t>
        </r>
      </text>
    </comment>
    <comment ref="D79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根据2014.1月出勤情况，退学费1750元，餐费195元，共计1945元，用于抵扣舞蹈课费960元，剩余985元，作为备用金，未退。介绍高湲媛小朋友优惠800元，未用</t>
        </r>
      </text>
    </comment>
    <comment ref="D8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邓容致改名为谭容致</t>
        </r>
      </text>
    </comment>
    <comment ref="D81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根据2014.1月份的出勤情况退学费1750元，餐费150元，共计1900元，用于抵扣班车费1200元（2014.3.1-2014.5.31），剩余700元，作为备用金，未退。</t>
        </r>
      </text>
    </comment>
    <comment ref="D89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减免800元，用于抵扣餐费（2013.11.1-2013.12.31）
根据2014.1月份的出勤情况，退学费2730元，餐费400元，共计3130元，用于抵扣轮滑课费960元，剩余2170元，作为备用金，未退。</t>
        </r>
      </text>
    </comment>
    <comment ref="D9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、2月份的出勤情况，退学费3230元，餐费285元，共计3515元，用于抵扣舞蹈课费960元，剩余2555元，作为备用金，未退。2014.3.18用于抵扣泥塑课费45*16=720元，，以及美术课费45*16=720元，美术泥塑材料费100元，剩余1015元，作为备用金，未退。</t>
        </r>
      </text>
    </comment>
    <comment ref="D91" authorId="2">
      <text>
        <r>
          <rPr>
            <sz val="9"/>
            <color indexed="81"/>
            <rFont val="宋体"/>
            <family val="3"/>
            <charset val="134"/>
          </rPr>
          <t>根据2014.2月份的出勤情况，退学费2350元，餐费105元，共计2455元，用于抵扣轮滑课费960元，剩余1495元，作为备用金，未退。</t>
        </r>
      </text>
    </comment>
    <comment ref="D92" authorId="2">
      <text>
        <r>
          <rPr>
            <sz val="9"/>
            <color indexed="81"/>
            <rFont val="宋体"/>
            <family val="3"/>
            <charset val="134"/>
          </rPr>
          <t xml:space="preserve">
2013.4.7缴纳学费32300元，一次性费用1200元，杂费600元，餐费800元，共计34900元，现变更学期为2013.9.1-2014.2.28，学费19380元，一次性费用1200元，杂费600元，餐费800元（2013.9.1-2013.10.31），共计21980元，剩余12920元，2013.12.2备用金用于抵扣餐费800元（2013.11.1-2013.12.31），剩余12120元，作为备用金，2013.12.5备用金用于抵扣餐费400元（2014.1.1-2014.1.31），剩余11720元，2013.12.13备用金用于抵扣小提琴课费1600元，剩余10120元，作为备用金，2014.1.14备用金已退。
</t>
        </r>
      </text>
    </comment>
    <comment ref="D93" authorId="2">
      <text>
        <r>
          <rPr>
            <sz val="9"/>
            <color indexed="81"/>
            <rFont val="宋体"/>
            <family val="3"/>
            <charset val="134"/>
          </rPr>
          <t>许泽宇2013.9月入园后开发票，开2张。
公司名称：中国寰球工程公司
另介绍一名孩子郑天寿，因此在给与800元的优惠，用于抵餐费（2013.9.1-2013.10.31）
2013.12.26根据2013.9、11月份的出勤情况，退学费1615元，餐费270元，共计1885元，用于抵扣餐费1200元（2013.12.1-2014.2.28），剩余685元，作为备用金，2014.2.18备用金已退。</t>
        </r>
      </text>
    </comment>
    <comment ref="D94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根据</t>
        </r>
        <r>
          <rPr>
            <sz val="9"/>
            <color indexed="81"/>
            <rFont val="Tahoma"/>
            <family val="2"/>
          </rPr>
          <t>2014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月份的出勤情况，应退学费</t>
        </r>
        <r>
          <rPr>
            <sz val="9"/>
            <color indexed="81"/>
            <rFont val="Tahoma"/>
            <family val="2"/>
          </rPr>
          <t>3500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150</t>
        </r>
        <r>
          <rPr>
            <sz val="9"/>
            <color indexed="81"/>
            <rFont val="宋体"/>
            <family val="3"/>
            <charset val="134"/>
          </rPr>
          <t>元，共计</t>
        </r>
        <r>
          <rPr>
            <sz val="9"/>
            <color indexed="81"/>
            <rFont val="Tahoma"/>
            <family val="2"/>
          </rPr>
          <t>3650</t>
        </r>
        <r>
          <rPr>
            <sz val="9"/>
            <color indexed="81"/>
            <rFont val="宋体"/>
            <family val="3"/>
            <charset val="134"/>
          </rPr>
          <t>元，用于抵扣舞蹈课外课费用</t>
        </r>
        <r>
          <rPr>
            <sz val="9"/>
            <color indexed="81"/>
            <rFont val="Tahoma"/>
            <family val="2"/>
          </rPr>
          <t>780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2870</t>
        </r>
        <r>
          <rPr>
            <sz val="9"/>
            <color indexed="81"/>
            <rFont val="宋体"/>
            <family val="3"/>
            <charset val="134"/>
          </rPr>
          <t>元作为备用金，未退。</t>
        </r>
      </text>
    </comment>
    <comment ref="D95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根据</t>
        </r>
        <r>
          <rPr>
            <sz val="9"/>
            <color indexed="81"/>
            <rFont val="Tahoma"/>
            <family val="2"/>
          </rPr>
          <t>2014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月份的出勤情况，应退学费</t>
        </r>
        <r>
          <rPr>
            <sz val="9"/>
            <color indexed="81"/>
            <rFont val="Tahoma"/>
            <family val="2"/>
          </rPr>
          <t>3500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150</t>
        </r>
        <r>
          <rPr>
            <sz val="9"/>
            <color indexed="81"/>
            <rFont val="宋体"/>
            <family val="3"/>
            <charset val="134"/>
          </rPr>
          <t>元，共计</t>
        </r>
        <r>
          <rPr>
            <sz val="9"/>
            <color indexed="81"/>
            <rFont val="Tahoma"/>
            <family val="2"/>
          </rPr>
          <t>3650</t>
        </r>
        <r>
          <rPr>
            <sz val="9"/>
            <color indexed="81"/>
            <rFont val="宋体"/>
            <family val="3"/>
            <charset val="134"/>
          </rPr>
          <t>元，用于抵扣舞蹈课外课费用</t>
        </r>
        <r>
          <rPr>
            <sz val="9"/>
            <color indexed="81"/>
            <rFont val="Tahoma"/>
            <family val="2"/>
          </rPr>
          <t>780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2870</t>
        </r>
        <r>
          <rPr>
            <sz val="9"/>
            <color indexed="81"/>
            <rFont val="宋体"/>
            <family val="3"/>
            <charset val="134"/>
          </rPr>
          <t>元作为备用金，未退。</t>
        </r>
      </text>
    </comment>
    <comment ref="D96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岳好改成岳笑溦
2013.12.31根据2013.10.11月的出勤情况退学费2730元，餐费445元，共计3175元，用于抵扣餐费400元（2014.2.1-2014.2.28），剩余2775元，作为备用金，2014.3.6备用金已退。</t>
        </r>
      </text>
    </comment>
    <comment ref="D10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2014.3.1-2014.8.31学期赠送课外课8节。
根据2014.2月的出勤情况，退学费2730元，用于抵扣小小厨师课费480元，剩余2250元，作为备用金，已退。根据</t>
        </r>
        <r>
          <rPr>
            <sz val="9"/>
            <color indexed="81"/>
            <rFont val="宋体"/>
            <family val="3"/>
            <charset val="134"/>
          </rPr>
          <t>2014.3月的出勤情况，应退学费1615元，餐费180元，共计1795元，已退。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101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根据周隽辉2013.9、10月份的出清情况，退学费1250元，餐费240元，共计1490元，用于抵扣餐费325+400*2=1125元（2013.11.1-2014.1.31），剩余365元，作为备用金，未退。</t>
        </r>
      </text>
    </comment>
    <comment ref="D10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根据2014.1、2月份的出勤情况，退学费4630元，餐费195元，共计4825元，用于抵扣轮滑课费960元以及小提琴课费1600元，剩余2265元，作为备用金，未退。</t>
        </r>
      </text>
    </comment>
    <comment ref="D108" authorId="2">
      <text>
        <r>
          <rPr>
            <sz val="9"/>
            <color indexed="81"/>
            <rFont val="宋体"/>
            <family val="3"/>
            <charset val="134"/>
          </rPr>
          <t>减免800元用于抵扣餐费。
学费期间变更为（2013.9.16-2014.2.28）应交学费金额为19380元，剩余3230元，用于抵扣一次性费用1200元，杂费600元（2013.9.1-2014.2.28），剩余1430元，作为备用金，根据2013.9月份的出勤情况，退学费1615元，餐费150元，共计3195元，用于抵扣餐费1600元(2013.11.1-2014.2.28)，剩余1595元，作为备用金，2014.1.13备用金已退。</t>
        </r>
      </text>
    </comment>
    <comment ref="D109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的出勤情况，退学费1400元，餐费400元，共计1800元，以上金额用于抵扣小提琴课费1600元，剩余200元，作为备用金，未退。2014.3.20根据2014.2月、2013.9月的出勤情况，退学费1900元，餐费135元，加上备用金200元，共计 2235元，用于抵扣美术课费960元，剩余1275元，作为备用金，未退。</t>
        </r>
      </text>
    </comment>
    <comment ref="D11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原缴费期间2013.9.1-2014.2.28
根据2013.9、10月的出勤情况，退学费3230元，餐费180元，共计3410元，用于抵扣10月份餐费220元（补交），以及餐费1600元（2013.11.1-2014.2.28），剩余1590元作为备用金，2014.2.25备用金已退。</t>
        </r>
      </text>
    </comment>
    <comment ref="D11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根据2014.1月份的出勤情况，退学费2250元，餐费195元，共计2445元，用于抵扣泥塑课费（4-6）以及轮滑课费1760元，剩余685元，作为备用金。2014.4.10用备用金抵扣小小厨师课外课费用640元，剩余45元，未退。
</t>
        </r>
      </text>
    </comment>
    <comment ref="D114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杨方妤小朋友于2014.1.24缴纳学费19500元（2014.2.19-2014.8.31），餐费2560元（2014.2.19-2014.8.31），现变更期限为（2014.4.1-2014.8.31），应交学费15000元，应交餐费2000元，剩余5060元，作为备用金，未退。现用于抵扣班车费1200元（2014.6.1-2014.8.31），剩余3860元作为备用金，未退。</t>
        </r>
      </text>
    </comment>
    <comment ref="D117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2014.3月入园，原缴费期间2013.9.1-2014.2.28</t>
        </r>
      </text>
    </comment>
    <comment ref="D119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介绍郑奕彤小朋友，减免800元，用于抵扣餐费</t>
        </r>
      </text>
    </comment>
    <comment ref="D125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原名 郑奕彤
张亦彤</t>
        </r>
      </text>
    </comment>
    <comment ref="D134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3.17来  4月份开始做班车
</t>
        </r>
      </text>
    </comment>
    <comment ref="D136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任奕霏小朋友原交学费</t>
        </r>
        <r>
          <rPr>
            <sz val="9"/>
            <color indexed="81"/>
            <rFont val="Tahoma"/>
            <family val="2"/>
          </rPr>
          <t>19380</t>
        </r>
        <r>
          <rPr>
            <sz val="9"/>
            <color indexed="81"/>
            <rFont val="宋体"/>
            <family val="3"/>
            <charset val="134"/>
          </rPr>
          <t>元，期限为</t>
        </r>
        <r>
          <rPr>
            <sz val="9"/>
            <color indexed="81"/>
            <rFont val="Tahoma"/>
            <family val="2"/>
          </rPr>
          <t>2014.3.1-2014.8.31</t>
        </r>
        <r>
          <rPr>
            <sz val="9"/>
            <color indexed="81"/>
            <rFont val="宋体"/>
            <family val="3"/>
            <charset val="134"/>
          </rPr>
          <t>，现变更为</t>
        </r>
        <r>
          <rPr>
            <sz val="9"/>
            <color indexed="81"/>
            <rFont val="Tahoma"/>
            <family val="2"/>
          </rPr>
          <t>2014.5.1-2014.8.31</t>
        </r>
        <r>
          <rPr>
            <sz val="9"/>
            <color indexed="81"/>
            <rFont val="宋体"/>
            <family val="3"/>
            <charset val="134"/>
          </rPr>
          <t>，应交学费</t>
        </r>
        <r>
          <rPr>
            <sz val="9"/>
            <color indexed="81"/>
            <rFont val="Tahoma"/>
            <family val="2"/>
          </rPr>
          <t>12920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6460</t>
        </r>
        <r>
          <rPr>
            <sz val="9"/>
            <color indexed="81"/>
            <rFont val="宋体"/>
            <family val="3"/>
            <charset val="134"/>
          </rPr>
          <t>元，作为备用金，未退</t>
        </r>
      </text>
    </comment>
    <comment ref="D139" authorId="2">
      <text>
        <r>
          <rPr>
            <sz val="9"/>
            <color indexed="81"/>
            <rFont val="宋体"/>
            <family val="3"/>
            <charset val="134"/>
          </rPr>
          <t>孙墨涵小朋友交学费期间为2013.9.1-2014.2.28，共计15000元，现将缴费期间调整为2014.4.1-2014.8.31，学费共计12500元，剩余2500元，作为备用金，未退。用于抵扣餐费2000元（2014.4.1-2014.8.31），剩余500元，作为备用金，未退。2014.4.22，备用金已退。</t>
        </r>
      </text>
    </comment>
    <comment ref="D14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韦祖诚小朋友远缴费19380元，变更期限变为2014.4.1-2014.8.31，应交16150元，剩余3230元，用于抵扣一次性费用1200元，杂费600元，剩余1430元，作为备用金，未退。2014.5.8备用金已退</t>
        </r>
      </text>
    </comment>
    <comment ref="D141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慕容青蓝小朋友于2013.12.24交学费19380元（2014.3.1-2014.8.31），现变更期限为2014.4.1-2014.8.31，应交16150元，剩余3230元，作为备用金，2014.3.26备用金已退。</t>
        </r>
      </text>
    </comment>
    <comment ref="D142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马亦君小朋友2014.1.3交学费19380元（2014.3.1-2014.8.31），现变更期限为2014.4.1-2014.8.31 应交学费16150元，剩余3230元，用于抵扣一次性费用1200元，杂费600元（2014.3.1-2014.8.31），剩余1430元，作为备用金，未退。2014.2.17备用金已退。但是当时收了6个月的餐费（2014.3.1-2014.8.31），一个月的餐费400元，作为备用金，未退。现抵扣保险费80元（2014.5-2015.4），剩余320元，作为备用金，未退。</t>
        </r>
      </text>
    </comment>
    <comment ref="D14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杨艾洲小朋友于2014.2.26缴纳学费19380元（2014.3.1-2014.8.31），现变更期限为2014.4.1-2014.8.31，应缴费16150元，剩余3230元，作为备用金，未退。2014.3.28备用金已退。</t>
        </r>
      </text>
    </comment>
    <comment ref="D144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赵子歌小朋友于2014.2.28缴纳学费19380元（2014.3.1-2014.8.31），现变更期限为2014.4.1-2014.8.31，应交学费16150元，剩余3230元，作为备用金，未退.2014.3.28备用金已退。</t>
        </r>
      </text>
    </comment>
    <comment ref="D14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陈卓然小朋友于2014年缴纳学费19380元(2014.9.1-2015.2.28)现变更入园期限(2014.4.1-2014.8.31),应交学费16150元，剩余3230元作为备用金，2014.3.27备用金已退。
2014.3.28陈卓然小朋友已交学费16150元（2014.4.1-2014.8.31），餐费2000元（2014.4.1-2014.8.31）。现变更期限为（2014.5.1-2014.8.31），应交学费12920元，餐费1600元，剩余3630元作为备用金，未退。2014.4.17用于抵扣学费1615元（2014.4.21-2014.4.30），抵扣餐费160元（2014.4.21-2014.4.30），共计1775元，作为备用金1855元，未退。</t>
        </r>
      </text>
    </comment>
    <comment ref="D149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特殊申请</t>
        </r>
      </text>
    </comment>
    <comment ref="D152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天通苑孩子特批，减免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元学费</t>
        </r>
      </text>
    </comment>
    <comment ref="D153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天通苑孩子特批，减免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元学费</t>
        </r>
      </text>
    </comment>
    <comment ref="D155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交</t>
        </r>
        <r>
          <rPr>
            <sz val="9"/>
            <color indexed="81"/>
            <rFont val="Tahoma"/>
            <family val="2"/>
          </rPr>
          <t>3000</t>
        </r>
        <r>
          <rPr>
            <sz val="9"/>
            <color indexed="81"/>
            <rFont val="宋体"/>
            <family val="3"/>
            <charset val="134"/>
          </rPr>
          <t>元定金</t>
        </r>
      </text>
    </comment>
    <comment ref="D156" authorId="3">
      <text>
        <r>
          <rPr>
            <sz val="9"/>
            <color indexed="81"/>
            <rFont val="宋体"/>
            <family val="3"/>
            <charset val="134"/>
          </rPr>
          <t>董晋小朋友于</t>
        </r>
        <r>
          <rPr>
            <sz val="9"/>
            <color indexed="81"/>
            <rFont val="Tahoma"/>
            <family val="2"/>
          </rPr>
          <t>2014.3.11</t>
        </r>
        <r>
          <rPr>
            <sz val="9"/>
            <color indexed="81"/>
            <rFont val="宋体"/>
            <family val="3"/>
            <charset val="134"/>
          </rPr>
          <t>缴纳学费</t>
        </r>
        <r>
          <rPr>
            <sz val="9"/>
            <color indexed="81"/>
            <rFont val="Tahoma"/>
            <family val="2"/>
          </rPr>
          <t>19380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2014.9.1-2015.2.28</t>
        </r>
        <r>
          <rPr>
            <sz val="9"/>
            <color indexed="81"/>
            <rFont val="宋体"/>
            <family val="3"/>
            <charset val="134"/>
          </rPr>
          <t>），现变更期限为</t>
        </r>
        <r>
          <rPr>
            <sz val="9"/>
            <color indexed="81"/>
            <rFont val="Tahoma"/>
            <family val="2"/>
          </rPr>
          <t>2014.5.1-2014.8.31</t>
        </r>
        <r>
          <rPr>
            <sz val="9"/>
            <color indexed="81"/>
            <rFont val="宋体"/>
            <family val="3"/>
            <charset val="134"/>
          </rPr>
          <t>，应缴纳学费</t>
        </r>
        <r>
          <rPr>
            <sz val="9"/>
            <color indexed="81"/>
            <rFont val="Tahoma"/>
            <family val="2"/>
          </rPr>
          <t>12920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6460</t>
        </r>
        <r>
          <rPr>
            <sz val="9"/>
            <color indexed="81"/>
            <rFont val="宋体"/>
            <family val="3"/>
            <charset val="134"/>
          </rPr>
          <t>元，作为备用金。</t>
        </r>
        <r>
          <rPr>
            <sz val="9"/>
            <color indexed="81"/>
            <rFont val="Tahoma"/>
            <family val="2"/>
          </rPr>
          <t>2014.4.16</t>
        </r>
        <r>
          <rPr>
            <sz val="9"/>
            <color indexed="81"/>
            <rFont val="宋体"/>
            <family val="3"/>
            <charset val="134"/>
          </rPr>
          <t>用于抵扣餐费</t>
        </r>
        <r>
          <rPr>
            <sz val="9"/>
            <color indexed="81"/>
            <rFont val="Tahoma"/>
            <family val="2"/>
          </rPr>
          <t>1600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2014.5.1-2014.8.31</t>
        </r>
        <r>
          <rPr>
            <sz val="9"/>
            <color indexed="81"/>
            <rFont val="宋体"/>
            <family val="3"/>
            <charset val="134"/>
          </rPr>
          <t>），杂费</t>
        </r>
        <r>
          <rPr>
            <sz val="9"/>
            <color indexed="81"/>
            <rFont val="Tahoma"/>
            <family val="2"/>
          </rPr>
          <t>600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2014.5.1-2014.8.31</t>
        </r>
        <r>
          <rPr>
            <sz val="9"/>
            <color indexed="81"/>
            <rFont val="宋体"/>
            <family val="3"/>
            <charset val="134"/>
          </rPr>
          <t>），一次性费用</t>
        </r>
        <r>
          <rPr>
            <sz val="9"/>
            <color indexed="81"/>
            <rFont val="Tahoma"/>
            <family val="2"/>
          </rPr>
          <t>1200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3060</t>
        </r>
        <r>
          <rPr>
            <sz val="9"/>
            <color indexed="81"/>
            <rFont val="宋体"/>
            <family val="3"/>
            <charset val="134"/>
          </rPr>
          <t>元作为备用金，未退。</t>
        </r>
      </text>
    </comment>
    <comment ref="D157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陈星宇小朋友原交费19380元，现将缴费期间调整为2014.5.1-2014.8.31，学费共计12920元，剩余6460元，作为备用金，未退。用于抵扣一次性费用1200元，杂费600元（2014.5.1-2014.10.31），餐费1600元（2014.5.1-2014.8.31），班车1600元（2014.5.1-2014.8.31），共计5000元，剩余1460元，作为备用金，未退。注：杂费缴纳至2014.10.31，已特殊审批。</t>
        </r>
      </text>
    </comment>
    <comment ref="D158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已特殊申请</t>
        </r>
      </text>
    </comment>
    <comment ref="D159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天通苑孩子特批，减免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元学费</t>
        </r>
      </text>
    </comment>
    <comment ref="D160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天通苑孩子特批，学费减免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元。</t>
        </r>
      </text>
    </comment>
    <comment ref="D162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原计划</t>
        </r>
        <r>
          <rPr>
            <sz val="9"/>
            <color indexed="81"/>
            <rFont val="Tahoma"/>
            <family val="2"/>
          </rPr>
          <t>2014.9.1-2015.2.28</t>
        </r>
        <r>
          <rPr>
            <sz val="9"/>
            <color indexed="81"/>
            <rFont val="宋体"/>
            <family val="3"/>
            <charset val="134"/>
          </rPr>
          <t>，缴纳学费</t>
        </r>
        <r>
          <rPr>
            <sz val="9"/>
            <color indexed="81"/>
            <rFont val="Tahoma"/>
            <family val="2"/>
          </rPr>
          <t>19380</t>
        </r>
        <r>
          <rPr>
            <sz val="9"/>
            <color indexed="81"/>
            <rFont val="宋体"/>
            <family val="3"/>
            <charset val="134"/>
          </rPr>
          <t>元，现变更为</t>
        </r>
        <r>
          <rPr>
            <sz val="9"/>
            <color indexed="81"/>
            <rFont val="Tahoma"/>
            <family val="2"/>
          </rPr>
          <t>2014.6.1-2014.8.31</t>
        </r>
        <r>
          <rPr>
            <sz val="9"/>
            <color indexed="81"/>
            <rFont val="宋体"/>
            <family val="3"/>
            <charset val="134"/>
          </rPr>
          <t>，应交学费</t>
        </r>
        <r>
          <rPr>
            <sz val="9"/>
            <color indexed="81"/>
            <rFont val="Tahoma"/>
            <family val="2"/>
          </rPr>
          <t>9690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9690</t>
        </r>
        <r>
          <rPr>
            <sz val="9"/>
            <color indexed="81"/>
            <rFont val="宋体"/>
            <family val="3"/>
            <charset val="134"/>
          </rPr>
          <t>元作为备用金。现用于抵扣一次性费用</t>
        </r>
        <r>
          <rPr>
            <sz val="9"/>
            <color indexed="81"/>
            <rFont val="Tahoma"/>
            <family val="2"/>
          </rPr>
          <t>1200</t>
        </r>
        <r>
          <rPr>
            <sz val="9"/>
            <color indexed="81"/>
            <rFont val="宋体"/>
            <family val="3"/>
            <charset val="134"/>
          </rPr>
          <t>元，杂费</t>
        </r>
        <r>
          <rPr>
            <sz val="9"/>
            <color indexed="81"/>
            <rFont val="Tahoma"/>
            <family val="2"/>
          </rPr>
          <t>600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2014.6.1-2014.8.31</t>
        </r>
        <r>
          <rPr>
            <sz val="9"/>
            <color indexed="81"/>
            <rFont val="宋体"/>
            <family val="3"/>
            <charset val="134"/>
          </rPr>
          <t>），餐费</t>
        </r>
        <r>
          <rPr>
            <sz val="9"/>
            <color indexed="81"/>
            <rFont val="Tahoma"/>
            <family val="2"/>
          </rPr>
          <t>1200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2014.6.1-2014.8.31</t>
        </r>
        <r>
          <rPr>
            <sz val="9"/>
            <color indexed="81"/>
            <rFont val="宋体"/>
            <family val="3"/>
            <charset val="134"/>
          </rPr>
          <t>），剩余</t>
        </r>
        <r>
          <rPr>
            <sz val="9"/>
            <color indexed="81"/>
            <rFont val="Tahoma"/>
            <family val="2"/>
          </rPr>
          <t>6690</t>
        </r>
        <r>
          <rPr>
            <sz val="9"/>
            <color indexed="81"/>
            <rFont val="宋体"/>
            <family val="3"/>
            <charset val="134"/>
          </rPr>
          <t>元，作为备用金，未退。</t>
        </r>
      </text>
    </comment>
    <comment ref="D16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谢晓言于2014.1.10缴纳学费27000元（2014.3.1-2014.8.31），现变更期限为2014.5.1-2014.8.31，应交学费18000元，剩余9000元，作为备用金，未退。现变更期限为2014.6.1-2014.8.31，应交学费13500元，剩余13500元，作为备用金，未退。</t>
        </r>
      </text>
    </comment>
    <comment ref="D17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孙毅鸣小朋友于2014.2.28缴纳学费27000元（2014.3.1-2014.8.31），现变更期限为2014.5.1-2014.8.31，应交学费18000元，剩余9000元，作为备用金，未退。现变更期限为2014.9.1-2015.2.28，应交学费27000元，无剩余备用金</t>
        </r>
      </text>
    </comment>
    <comment ref="D175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宋体"/>
            <family val="3"/>
            <charset val="134"/>
          </rPr>
          <t>现变更期限为</t>
        </r>
        <r>
          <rPr>
            <sz val="9"/>
            <color indexed="81"/>
            <rFont val="Tahoma"/>
            <family val="2"/>
          </rPr>
          <t>2014.9.1-2014.12.31</t>
        </r>
        <r>
          <rPr>
            <sz val="9"/>
            <color indexed="81"/>
            <rFont val="宋体"/>
            <family val="3"/>
            <charset val="134"/>
          </rPr>
          <t>，</t>
        </r>
      </text>
    </comment>
    <comment ref="D177" authorId="3">
      <text>
        <r>
          <rPr>
            <sz val="9"/>
            <color indexed="81"/>
            <rFont val="宋体"/>
            <family val="3"/>
            <charset val="134"/>
          </rPr>
          <t>原计划缴费期间为</t>
        </r>
        <r>
          <rPr>
            <sz val="9"/>
            <color indexed="81"/>
            <rFont val="Tahoma"/>
            <family val="2"/>
          </rPr>
          <t>2015.3.1-2015.8.31</t>
        </r>
        <r>
          <rPr>
            <sz val="9"/>
            <color indexed="81"/>
            <rFont val="宋体"/>
            <family val="3"/>
            <charset val="134"/>
          </rPr>
          <t>，现变更为</t>
        </r>
        <r>
          <rPr>
            <sz val="9"/>
            <color indexed="81"/>
            <rFont val="Tahoma"/>
            <family val="2"/>
          </rPr>
          <t>2014.9.1-2015.2.28</t>
        </r>
        <r>
          <rPr>
            <sz val="9"/>
            <color indexed="81"/>
            <rFont val="宋体"/>
            <family val="3"/>
            <charset val="134"/>
          </rPr>
          <t>，费用不变。</t>
        </r>
      </text>
    </comment>
    <comment ref="D17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宋莉宏小朋友于2014.3.4缴纳学费19380元（2014.3.1-2014.8.31），现变更期限为2014.4.1-2014.8.31，应缴费用16150元，剩余3230元，作为备用金，未退。现变更缴费期限为2014.7.1-2014.8.31日，应缴费6460元，剩余12920元，作为备用金，未退。</t>
        </r>
      </text>
    </comment>
    <comment ref="D183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天通苑孩子学费优惠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元。</t>
        </r>
      </text>
    </comment>
    <comment ref="D193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原缴学费</t>
        </r>
        <r>
          <rPr>
            <sz val="9"/>
            <color indexed="81"/>
            <rFont val="Tahoma"/>
            <family val="2"/>
          </rPr>
          <t>9690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2014.6.1-2014.8.31</t>
        </r>
        <r>
          <rPr>
            <sz val="9"/>
            <color indexed="81"/>
            <rFont val="宋体"/>
            <family val="3"/>
            <charset val="134"/>
          </rPr>
          <t>），餐费</t>
        </r>
        <r>
          <rPr>
            <sz val="9"/>
            <color indexed="81"/>
            <rFont val="Tahoma"/>
            <family val="2"/>
          </rPr>
          <t>1200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2014.6.1-2014.8.31</t>
        </r>
        <r>
          <rPr>
            <sz val="9"/>
            <color indexed="81"/>
            <rFont val="宋体"/>
            <family val="3"/>
            <charset val="134"/>
          </rPr>
          <t>），杂费</t>
        </r>
        <r>
          <rPr>
            <sz val="9"/>
            <color indexed="81"/>
            <rFont val="Tahoma"/>
            <family val="2"/>
          </rPr>
          <t>600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2014.6.1-2014.8.31</t>
        </r>
        <r>
          <rPr>
            <sz val="9"/>
            <color indexed="81"/>
            <rFont val="宋体"/>
            <family val="3"/>
            <charset val="134"/>
          </rPr>
          <t>），现变更至</t>
        </r>
        <r>
          <rPr>
            <sz val="9"/>
            <color indexed="81"/>
            <rFont val="Tahoma"/>
            <family val="2"/>
          </rPr>
          <t>2014.7.1-2014.8.31</t>
        </r>
        <r>
          <rPr>
            <sz val="9"/>
            <color indexed="81"/>
            <rFont val="宋体"/>
            <family val="3"/>
            <charset val="134"/>
          </rPr>
          <t>，应交学费</t>
        </r>
        <r>
          <rPr>
            <sz val="9"/>
            <color indexed="81"/>
            <rFont val="Tahoma"/>
            <family val="2"/>
          </rPr>
          <t>6460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800</t>
        </r>
        <r>
          <rPr>
            <sz val="9"/>
            <color indexed="81"/>
            <rFont val="宋体"/>
            <family val="3"/>
            <charset val="134"/>
          </rPr>
          <t>元，杂费</t>
        </r>
        <r>
          <rPr>
            <sz val="9"/>
            <color indexed="81"/>
            <rFont val="Tahoma"/>
            <family val="2"/>
          </rPr>
          <t>480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3750</t>
        </r>
        <r>
          <rPr>
            <sz val="9"/>
            <color indexed="81"/>
            <rFont val="宋体"/>
            <family val="3"/>
            <charset val="134"/>
          </rPr>
          <t>元，作为备用金，未退。</t>
        </r>
      </text>
    </comment>
  </commentList>
</comments>
</file>

<file path=xl/comments2.xml><?xml version="1.0" encoding="utf-8"?>
<comments xmlns="http://schemas.openxmlformats.org/spreadsheetml/2006/main">
  <authors>
    <author>zhaoys</author>
    <author>雨林木风</author>
    <author>微软用户</author>
    <author>PKU</author>
  </authors>
  <commentList>
    <comment ref="C17" authorId="0">
      <text>
        <r>
          <rPr>
            <b/>
            <sz val="9"/>
            <color indexed="81"/>
            <rFont val="宋体"/>
            <family val="3"/>
            <charset val="134"/>
          </rPr>
          <t>赠送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O20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90元为2013.2月应退餐费</t>
        </r>
      </text>
    </comment>
    <comment ref="C66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2013.8月退学费2000元,轮滑换泥塑</t>
        </r>
      </text>
    </comment>
    <comment ref="C71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赠送8节课外课
跆拳道转泥塑</t>
        </r>
      </text>
    </comment>
    <comment ref="C75" authorId="0">
      <text>
        <r>
          <rPr>
            <sz val="9"/>
            <color indexed="81"/>
            <rFont val="宋体"/>
            <family val="3"/>
            <charset val="134"/>
          </rPr>
          <t xml:space="preserve">根据 2013.8月的出勤情况，退学费1250元，餐费180元，共计1430元，用于抵扣舞蹈课费960元以及餐费400元（2013.10.1-2013.10.31），剩余70元作为备用金，2013.9.9备用金已退。
</t>
        </r>
      </text>
    </comment>
    <comment ref="C77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赠送8节</t>
        </r>
      </text>
    </comment>
    <comment ref="C78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赠送8节</t>
        </r>
      </text>
    </comment>
    <comment ref="C82" authorId="0">
      <text>
        <r>
          <rPr>
            <sz val="9"/>
            <color indexed="81"/>
            <rFont val="宋体"/>
            <family val="3"/>
            <charset val="134"/>
          </rPr>
          <t>根据2013.2、4、5、6、7、8月份的出勤情况，退学费4375元，餐费1325元，班车费200元，共计5900元，用于抵扣杂费（2013.9.1-2014.2.28）餐费2400元（2013.9.1-2014.2.28）和趣味美术课费60*16=960元，剩余1940元，作为备用金，未退</t>
        </r>
      </text>
    </comment>
    <comment ref="C90" authorId="0">
      <text>
        <r>
          <rPr>
            <sz val="9"/>
            <color indexed="81"/>
            <rFont val="宋体"/>
            <family val="3"/>
            <charset val="134"/>
          </rPr>
          <t xml:space="preserve">
根据2013.8月份的出勤情况，退学费2125元，餐费165元，共计2290元，用于抵扣轮滑课费55*16（初级）以及泥塑课费55*16，剩余530元，作为备用金，未退。</t>
        </r>
      </text>
    </comment>
    <comment ref="C92" authorId="0">
      <text>
        <r>
          <rPr>
            <sz val="9"/>
            <color indexed="81"/>
            <rFont val="宋体"/>
            <family val="3"/>
            <charset val="134"/>
          </rPr>
          <t>尹子健小朋友缴纳2012.8.20-2014.8.31学费1575+3150*24=77175
元，2012.8.1-2013.2.28餐费400*7=2800，由于调整入学起止时间，改为2012.9.1入学，应退2012.8.20-2012.8.31学费1575元，2012.8.1-2012.8.31餐费400元，共计1975元，已退。
根据尹子健小朋友2012.10月、12月，2013.1、2月的出勤情况，退学费5300元，餐费905元，共计6205元，用于抵扣餐费（2013.3.1-2013.8.31）以及杂费300元（2013.3.1-2013.8.31），剩余3505元，作为备用金，2013.3.28日用于抵扣轮滑课费60*16=960元，剩余2545元，作为备用金。
根据2013.6、8月的出勤情况退学费4225元，退餐费505元，加上备用金共计7275元，用于抵扣杂费600元（2013.9.1-2014.2.28）以及餐费（2013.9.1-2014.2.28）和泥塑课费960元，剩余3315元，作为备用金，未退。</t>
        </r>
      </text>
    </comment>
    <comment ref="C95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美术课费转到下学期共计850元。</t>
        </r>
      </text>
    </comment>
    <comment ref="C105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2013.8月应退学费1750元，餐费180元。</t>
        </r>
      </text>
    </comment>
    <comment ref="C110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根据2013.9、11月的出勤情况，退学费2500元，餐费420元，共计2920元，用于抵扣小提琴课费1600元，剩余1320元，作为备用金，未退。</t>
        </r>
      </text>
    </comment>
    <comment ref="C112" authorId="0">
      <text>
        <r>
          <rPr>
            <sz val="9"/>
            <color indexed="81"/>
            <rFont val="宋体"/>
            <family val="3"/>
            <charset val="134"/>
          </rPr>
          <t xml:space="preserve">
2013.4.7缴纳学费32300元，一次性费用1200元，杂费600元，餐费800元，共计34900元，现变更学期为2013.9.1-2014.2.28，学费19380元，一次性费用1200元，杂费600元，餐费800元（2013.9.1-2013.10.31），共计21980元，剩余12920元，2013.12.2备用金用于抵扣餐费800元（2013.11.1-2013.12.31），剩余12120元，作为备用金，2013.12.5备用金用于抵扣餐费400元（2014.1.1-2014.1.31），剩余11720元，2013.12.13备用金用于抵扣小提琴课费1600元，剩余10120元，作为备用金，未退。</t>
        </r>
      </text>
    </comment>
    <comment ref="C118" authorId="0">
      <text>
        <r>
          <rPr>
            <sz val="9"/>
            <color indexed="81"/>
            <rFont val="宋体"/>
            <family val="3"/>
            <charset val="134"/>
          </rPr>
          <t>根据钟艺宝小朋友2013.5月的出勤情况，应退学费1520元，餐费195元，共计1715元，用于抵扣餐费（2013.6.1-2013.8.31），剩余515元，作为备用金，2013.9.2已退
2013.12.26根据2013.11月份的出勤情况，退学费1520元，餐费150元，共计1670元，用于抵扣餐费800元（2014.1.1-2014.2.28），剩余870元，作为备用金，2014.1.7备用金已退。
根据2014.1、2月份的出勤情况，退学费1520元，餐费150元，共计1670元，用于抵扣小提琴课费1600元，剩余70元，作为备用金，未退。</t>
        </r>
      </text>
    </comment>
    <comment ref="C122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根据2014.1月份的出勤情况，退学费1250元，餐费195元，共计1445元，用于抵扣泥塑课费以及材料费1010元（2.5-4），剩余435元，扣除290*0.78%=2.2的手续费，剩余432.8元，作为备用金，已退。</t>
        </r>
      </text>
    </comment>
    <comment ref="C123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根据2014.1月份的出勤情况，退学费2250元，餐费195元，共计2445元，用于抵扣泥塑课费（4-6）以及轮滑课费1760元，剩余685元，作为备用金，未退。2014.4.10用备用金抵扣小小厨师课外课费用640元，剩余45元，未退。
</t>
        </r>
      </text>
    </comment>
    <comment ref="W123" authorId="1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报三门课外课优惠</t>
        </r>
        <r>
          <rPr>
            <sz val="9"/>
            <color indexed="81"/>
            <rFont val="Tahoma"/>
            <family val="2"/>
          </rPr>
          <t>50</t>
        </r>
        <r>
          <rPr>
            <sz val="9"/>
            <color indexed="81"/>
            <rFont val="宋体"/>
            <family val="3"/>
            <charset val="134"/>
          </rPr>
          <t>一节</t>
        </r>
      </text>
    </comment>
    <comment ref="C129" authorId="0">
      <text>
        <r>
          <rPr>
            <sz val="9"/>
            <color indexed="81"/>
            <rFont val="宋体"/>
            <family val="3"/>
            <charset val="134"/>
          </rPr>
          <t>根据 2013.8月的出勤情况，退学费1250元，餐费180元，共计1430元，用于抵扣舞蹈课费960元以及餐费400元（2013.10.1-2013.10.31），剩余70元作为备用金，2013.9.9备用金已退。
根据2014.2月份的出勤情况，退学费1250元，餐费135元，共计1385元，用于抵扣美术课费800元，剩余585元，作为备用金，2014.3.26备用金已退。</t>
        </r>
      </text>
    </comment>
    <comment ref="C134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美术课费转到下学期共计850元。</t>
        </r>
      </text>
    </comment>
    <comment ref="C135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根据2014.1月出勤情况，退学费1750元，餐费195元，共计1945元，用于抵扣舞蹈课费960元，剩余985元，作为备用金，未退。</t>
        </r>
      </text>
    </comment>
    <comment ref="C138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根据2014.1月份的出勤情况退学费1250元，餐费255（现金）元，共计1505元，用于抵扣美术课费960元+材料费50元，剩余495元，作为备用金，未退。</t>
        </r>
      </text>
    </comment>
    <comment ref="C140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2014.3.20小小厨师换成美术课，剩余150元材料费，作为备用金，未退。</t>
        </r>
      </text>
    </comment>
    <comment ref="C145" authorId="2">
      <text>
        <r>
          <rPr>
            <sz val="9"/>
            <color indexed="81"/>
            <rFont val="Tahoma"/>
            <family val="2"/>
          </rPr>
          <t>2012.8.24</t>
        </r>
        <r>
          <rPr>
            <sz val="9"/>
            <color indexed="81"/>
            <rFont val="宋体"/>
            <family val="3"/>
            <charset val="134"/>
          </rPr>
          <t>缴纳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12000</t>
        </r>
        <r>
          <rPr>
            <sz val="9"/>
            <color indexed="81"/>
            <rFont val="宋体"/>
            <family val="3"/>
            <charset val="134"/>
          </rPr>
          <t>元、餐费</t>
        </r>
        <r>
          <rPr>
            <sz val="9"/>
            <color indexed="81"/>
            <rFont val="Tahoma"/>
            <family val="2"/>
          </rPr>
          <t>2400</t>
        </r>
        <r>
          <rPr>
            <sz val="9"/>
            <color indexed="81"/>
            <rFont val="宋体"/>
            <family val="3"/>
            <charset val="134"/>
          </rPr>
          <t>元、一次性用品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元、杂费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元，共计</t>
        </r>
        <r>
          <rPr>
            <sz val="9"/>
            <color indexed="81"/>
            <rFont val="Tahoma"/>
            <family val="2"/>
          </rPr>
          <t>15700</t>
        </r>
        <r>
          <rPr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根据</t>
        </r>
        <r>
          <rPr>
            <sz val="9"/>
            <color indexed="81"/>
            <rFont val="Tahoma"/>
            <family val="2"/>
          </rPr>
          <t>2014.1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月份的出勤情况，退学费</t>
        </r>
        <r>
          <rPr>
            <sz val="9"/>
            <color indexed="81"/>
            <rFont val="Tahoma"/>
            <family val="2"/>
          </rPr>
          <t>1250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240</t>
        </r>
        <r>
          <rPr>
            <sz val="9"/>
            <color indexed="81"/>
            <rFont val="宋体"/>
            <family val="3"/>
            <charset val="134"/>
          </rPr>
          <t>元，用于抵扣舞蹈课费</t>
        </r>
        <r>
          <rPr>
            <sz val="9"/>
            <color indexed="81"/>
            <rFont val="Tahoma"/>
            <family val="2"/>
          </rPr>
          <t>960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530</t>
        </r>
        <r>
          <rPr>
            <sz val="9"/>
            <color indexed="81"/>
            <rFont val="宋体"/>
            <family val="3"/>
            <charset val="134"/>
          </rPr>
          <t>元，作为备用金，未退。</t>
        </r>
      </text>
    </comment>
    <comment ref="C146" authorId="0">
      <text>
        <r>
          <rPr>
            <sz val="9"/>
            <color indexed="81"/>
            <rFont val="宋体"/>
            <family val="3"/>
            <charset val="134"/>
          </rPr>
          <t>入园时开发票“伊特克斯惰性气体系统（北京）有限公司
根据2014.2月份的出清情况，退学费1615元，餐费135元，共计1750元，用于抵扣钢琴课费1600元，剩余150元，作为备用金，2014.3.17备用金已退。</t>
        </r>
      </text>
    </comment>
    <comment ref="C147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的出勤情况，退学费1400元，餐费400元，共计1800元，以上金额用于抵扣小提琴课费1600元，剩余200元，作为备用金，未退。2014.3.20根据2014.2月、2013.9月的出勤情况，退学费1900元，餐费135元，加上备用金200元，共计 2235元，用于抵扣美术课费960元，剩余1275元，作为备用金，未退。</t>
        </r>
      </text>
    </comment>
    <comment ref="C148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根据2014.1、2月份的出勤情况，退学费4630元，餐费195元，共计4825元，用于抵扣轮滑课费960元以及小提琴课费1600元，剩余2265元，作为备用金，未退。</t>
        </r>
      </text>
    </comment>
    <comment ref="C149" authorId="0">
      <text>
        <r>
          <rPr>
            <sz val="9"/>
            <color indexed="81"/>
            <rFont val="宋体"/>
            <family val="3"/>
            <charset val="134"/>
          </rPr>
          <t xml:space="preserve">
根据2013.8月的出勤情况，退学费2000元，用于抵扣餐费（2013.10.1-2014.2.28），无剩余。
根据2014.1、2月份的出勤情况，退学费3250元，餐费595元，共计3845元，用于抵扣钢琴课费1600元，剩余2245元，作为备用金，未退。用于抵扣钢琴课费1600元，剩余645元，作为备用金，未退。</t>
        </r>
      </text>
    </comment>
    <comment ref="C150" authorId="0">
      <text>
        <r>
          <rPr>
            <sz val="9"/>
            <color indexed="81"/>
            <rFont val="宋体"/>
            <family val="3"/>
            <charset val="134"/>
          </rPr>
          <t>根据2014.2月份的出勤情况，退学费2350元，餐费135元，共计2485元，用于抵扣轮滑课费960元，剩余1525元，作为备用金，未退。</t>
        </r>
      </text>
    </comment>
    <comment ref="C151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2013.10、11月的出勤情况，退学费1250元，退餐费270元，共计1520元，用于抵扣餐费400元（2013.12.1-2013.12.31），剩余1120元，作为备用金，2013.12.19备用金用于抵扣餐费400元（2014.1.1-2014.1.31），剩余720元，作为备用金，2014.1.15备用金已退。
根据2014.1、2月份的出勤情况退学费3250元，餐费150元，共计3400元，用于抵扣小提琴课费1600元，剩余1800元，作为备用金，未退。</t>
        </r>
      </text>
    </comment>
    <comment ref="C152" authorId="3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缴纳2011年9月5日-2012年8月31日学费37800元，餐费7920元，共计缴纳费用45720元，由于12年2月份费用下调，学费由3150元下调到2000元，差额1150*7=8050元，餐费由660元下调到360元，差额300*7=2100元，请假1、7、8月，学费7150元，餐费12、2月各1天、1、7、8整月应退餐费1413元，杂费1500元，应退还金额20213元，已退完
2012.7.2缴纳2012.7-2013.2.28学费2000*8=16000元、2013.3.1-2013.8.31学费2500*6=15000元、2012.7.1-2012.7.31餐费400元，共计31400元，
2012.9.3缴纳2012.8.1-2012.9.30餐费800元、一次性用品1000元、杂费300元，共计2100元
舒哲在6、8、9、10月份的出清应退学费1500元，餐费1025元，以上金额用于冲抵2012.12、2013.1、2013.2月餐费1200元，剩余1325元，作为备用金。                                        根据舒哲12、2月的出勤情况，退学费1500元，餐费445元，备用金1325元，共计3270元，用于抵扣2013.3.1-2013.8.31餐费以及2013.3.1-2013.8.31杂费，剩余570元，作为备用金,2013.3.21日备用金已退。
根据舒哲小朋友2013.8月份的出清情况，退学费2000元，餐费400元，共计2400元，用于抵扣餐费（2013.10.1-2014.2.28），剩余400元，作为备用金，2014.3.5根据2014.1、2月份的出勤情况，退学费3250元，餐费580元，加上备用金400元，共计4230元，用于抵扣钢琴课费1600元，剩余2630元，作为备用金，未退。</t>
        </r>
      </text>
    </comment>
    <comment ref="C154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根据2014.2月份的出勤情况，退学费1750元，餐费135元，共计1885元，用于抵扣舞蹈课费960元，剩余925元，作为备用金。未退。</t>
        </r>
      </text>
    </comment>
    <comment ref="C155" authorId="0">
      <text>
        <r>
          <rPr>
            <sz val="9"/>
            <color indexed="81"/>
            <rFont val="宋体"/>
            <family val="3"/>
            <charset val="134"/>
          </rPr>
          <t>根据2013.8月份的出勤情况，退学费2000元，用于抵扣餐费（2013.10.1-2013.10.31），剩余1600元，作为备用金，
2013.10.15用于抵扣餐费2013.11.1-2013.11.30，剩余1200元，2013.12.2备用金用于抵扣餐费400元（2013.12.1-2013.12.31），剩余800元，作为备用金，2014.1.23备用金已退。
根据2014.1、2月份的出勤情况，退学费4000元，用于抵扣小提琴课费1600元，餐费2400元（2014.3.1-2014.8.31），无剩余。</t>
        </r>
      </text>
    </comment>
    <comment ref="C159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根据2014.1、2月份的出勤情况退学费2000元，餐费475元，共计2475元，用于抵扣舞蹈课费（4-6）960元，剩余1515元，作为备用金，未退。</t>
        </r>
      </text>
    </comment>
    <comment ref="C165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根据2013.9、11月的出勤情况，退学费2500元，餐费420元，共计2920元，用于抵扣小提琴课费1600元，剩余1320元，作为备用金，2014.1.16备用金已退。
根据2014.1、2月份的出勤情况，退学费3250元，餐费595元，共计3845元，用于抵扣小提琴课费1600元以及美术课费960元，剩余1285元，作为备用金，未退。</t>
        </r>
      </text>
    </comment>
    <comment ref="C168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、2月份的出勤情况，退学费3230元，餐费285元，共计3515元，用于抵扣舞蹈课费960元，剩余2555元，作为备用金，未退。2014.3.18用于抵扣泥塑课费45*16=720元，，以及美术课费45*16=720元，美术泥塑材料费100元，剩余1015元，作为备用金，未退。</t>
        </r>
      </text>
    </comment>
    <comment ref="C172" authorId="1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退轮滑</t>
        </r>
      </text>
    </comment>
    <comment ref="C174" authorId="1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退泥塑、美术、美厨</t>
        </r>
      </text>
    </comment>
    <comment ref="C178" authorId="1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已特殊申请</t>
        </r>
      </text>
    </comment>
    <comment ref="C179" authorId="1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已特殊申请</t>
        </r>
      </text>
    </comment>
  </commentList>
</comments>
</file>

<file path=xl/comments3.xml><?xml version="1.0" encoding="utf-8"?>
<comments xmlns="http://schemas.openxmlformats.org/spreadsheetml/2006/main">
  <authors>
    <author>zhaoys</author>
  </authors>
  <commentList>
    <comment ref="D175" authorId="0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2013.9.1入园</t>
        </r>
      </text>
    </comment>
  </commentList>
</comments>
</file>

<file path=xl/comments4.xml><?xml version="1.0" encoding="utf-8"?>
<comments xmlns="http://schemas.openxmlformats.org/spreadsheetml/2006/main">
  <authors>
    <author>PKU</author>
    <author>微软用户</author>
    <author>zhaoys</author>
    <author>雨林木风</author>
  </authors>
  <commentList>
    <comment ref="C3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共缴纳2011年9月5日-2012年8月31日学费3150*12=37800元，餐费7920元，校车费2011年12月-2012年2月份300*3=900元，总计收费46620元，由于12年2月份费用下调，学费由3150元下调到2000元，差额1150*7=8050元，餐费由660元下调到360元，差额300*7=2100元，退1月份请假学费1575元，餐费532元，杂费1500元，总计退费13757元，扣除2012年3月份-8月份校车费300*6=1800元，实际退费11957元，但家长同意用此笔费用递减5个月学费及餐费剩余款不退还，延至到2013年1月份，同时减免5个月校车费2012年9月-2013年1月
2012.8.30重新办理入学手续，应收2012.9.1-2013.2.28学费2000*6=12000元、餐费400*6=2400元、一次性用品1000元、杂费300元、校车费1200元，共计16900元，应退2012.9.1-2013.1.31学费2000*5=10000元、餐费360*5=1800元、5月餐费75、7月餐费80元，合计11955元，实际缴纳4945元整。</t>
        </r>
      </text>
    </comment>
    <comment ref="G3" authorId="1">
      <text>
        <r>
          <rPr>
            <sz val="9"/>
            <color indexed="81"/>
            <rFont val="Tahoma"/>
            <family val="2"/>
          </rPr>
          <t>2012.8.30</t>
        </r>
        <r>
          <rPr>
            <sz val="9"/>
            <color indexed="81"/>
            <rFont val="宋体"/>
            <family val="3"/>
            <charset val="134"/>
          </rPr>
          <t>重新办理入学手续。</t>
        </r>
        <r>
          <rPr>
            <sz val="9"/>
            <color indexed="81"/>
            <rFont val="Tahoma"/>
            <family val="2"/>
          </rPr>
          <t>2012.9.1-2012.2.28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2000*6=12000</t>
        </r>
        <r>
          <rPr>
            <sz val="9"/>
            <color indexed="81"/>
            <rFont val="宋体"/>
            <family val="3"/>
            <charset val="134"/>
          </rPr>
          <t>，扣除欧瑞已交学费</t>
        </r>
        <r>
          <rPr>
            <sz val="9"/>
            <color indexed="81"/>
            <rFont val="Tahoma"/>
            <family val="2"/>
          </rPr>
          <t xml:space="preserve">2012.9.1-2013.1.31.2000*5=10000
</t>
        </r>
      </text>
    </comment>
    <comment ref="I3" authorId="1">
      <text>
        <r>
          <rPr>
            <sz val="9"/>
            <color indexed="81"/>
            <rFont val="宋体"/>
            <family val="3"/>
            <charset val="134"/>
          </rPr>
          <t>2012.8.30从新办理入学手续，缴纳2012.9.1-2013.2.28餐费400*6，扣除欧瑞缴纳2012.9.1-2012.1.31日餐费360*5=1800元  5月应退餐费75元，7月应退80元，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缴纳2011年9月5日-2012年8月31日学费37800元，餐费7920元，共计缴纳费用45720元，由于12年2月份费用下调，学费由3150元下调到2000元，差额1150*7=8050元，餐费由660元下调到360元，差额300*7=2100元，请假1、7、8月，学费7150元，餐费12、2月各1天、1、7、8整月应退餐费1413元，杂费1500元，应退还金额20213元，已退完
2012.7.2缴纳2012.7-2013.2.28学费2000*8=16000元、2013.3.1-2013.8.31学费2500*6=15000元、2012.7.1-2012.7.31餐费400元，共计31400元，
2012.9.3缴纳2012.8.1-2012.9.30餐费800元、一次性用品1000元、杂费300元，共计2100元
舒哲在6、8、9、10月份的出清应退学费1500元，餐费1025元，以上金额用于冲抵2012.12、2013.1、2013.2月餐费1200元，剩余1325元，作为备用金。                                        根据舒哲12、2月的出勤情况，退学费1500元，餐费445元，备用金1325元，共计3270元，用于抵扣2013.3.1-2013.8.31餐费以及2013.3.1-2013.8.31杂费，剩余570元，作为备用金,2013.3.21日备用金已退。
根据舒哲小朋友2013.8月份的出清情况，退学费2000元，餐费400元，共计2400元，用于抵扣餐费（2013.10.1-2014.2.28），剩余400元，作为备用金，2014.3.5根据2014.1、2月份的出勤情况，退学费3250元，餐费580元，加上备用金400元，共计4230元，用于抵扣钢琴课费1600元，剩余2630元，作为备用金，未退。</t>
        </r>
      </text>
    </comment>
    <comment ref="C5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缴纳2011年9月5日-2012年8月31日学费37800元，餐费2011年9月5日-2012年2月28日3267元（该生是季度缴纳餐费，在缴纳11年12月份-12年2月份餐费是由于10月份请假4天应退学费573元，餐费120元共计693元抵减，实付金额1287元，2011年12月-2012年2月校车费900元，共计缴纳费用41967元，由于2月份费用下调学费由3150元下调到2000元，差额1150*7=8050元，餐费由660下调到360元差额300元，12月请假6天，1月份整月，3月份16天病假，共计应退学费5463元，餐费还有2月份4天1167元，退校车费300元，杂费1500元，应退金额16781扣除12年3月-8月份餐费2160元，实际退费14621元，已退完
2012.8.28缴纳2012.9.1-2013.2.28学费2000*6=12000元、2012.9.1-2012.9.30餐费400元、2012.9.1-2013.2.28校车费200*6=1200元、一次性用品1000元、2012.9.1-2013.2.28杂费300元，应收合计14900元，应退六月出勤7天半月学费1000元、餐费234元、5月餐费60元、7月餐费128元，应退合计1422元，实际收款13478元整。</t>
        </r>
      </text>
    </commen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缴纳2011年9月15日-2012年8月31日学费38122.5元，2011年9月15日-2012年2月份餐费3630元，2011年12月-2012年2月份校车费900元，共计缴纳42652.5元，由于2月份费用下调，学费由3315元下调到2000元，差额1315*7=9205元，餐费由660下调到360元，差额300元，1月份请假整月，2月份事假6天，应退学费3315元，餐费758元，校车费900元，杂费1500元，应退金额15978元，扣除12年3月-8月餐费2160元，应退费用13818元，由于出纳计算有误，实际付款14718元。
2012.8.14.该生缴纳2012.9.1-2013.2.28学费2000*6=12000元，2013.3.1-2014.8.31学费2500*18*0.9=40500元，餐费2012.9.1-2012.9.30餐费400元，一次性用品1000元，2012.9.1-2013.8.31杂费300*2=600元，应退2012.7月份半月学费1000元，实收53500元整。应退5月餐费15元，7月餐费224元，共计239元,已退。                
根据陈佑民小朋友2013.1、2月份的出勤，退学费2500元，餐费565元，共计3065元，用于抵扣2013.3、4、5、6月份的餐费，剩余1465元，作为备用金.2013.6.18备用金1465元用于抵扣餐费（2013.7.1-2013.8.31），剩余665元，作为备用金，         根据2013.5、6、7、8月份的出勤情况退学费1750元，餐费685元，加上备用金665元共计3100元，用于抵扣杂费600元（2013.9.1-2014.2.28）以及餐费2400元（2013.9.1-2014.2.28）剩余100元作为备用金，2014.2.18备用金已退。</t>
        </r>
      </text>
    </comment>
    <comment ref="D6" authorId="1">
      <text>
        <r>
          <rPr>
            <sz val="9"/>
            <color indexed="81"/>
            <rFont val="宋体"/>
            <family val="3"/>
            <charset val="134"/>
          </rPr>
          <t>欧瑞</t>
        </r>
        <r>
          <rPr>
            <sz val="9"/>
            <color indexed="81"/>
            <rFont val="Tahoma"/>
            <family val="2"/>
          </rPr>
          <t>600+</t>
        </r>
        <r>
          <rPr>
            <sz val="9"/>
            <color indexed="81"/>
            <rFont val="宋体"/>
            <family val="3"/>
            <charset val="134"/>
          </rPr>
          <t>北大公学一次性用品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宋体"/>
            <family val="3"/>
            <charset val="134"/>
          </rPr>
          <t>杂费</t>
        </r>
        <r>
          <rPr>
            <sz val="9"/>
            <color indexed="81"/>
            <rFont val="Tahoma"/>
            <family val="2"/>
          </rPr>
          <t xml:space="preserve">2012.9.1-2013.8.31
</t>
        </r>
      </text>
    </comment>
    <comment ref="G6" authorId="1">
      <text>
        <r>
          <rPr>
            <sz val="9"/>
            <color indexed="81"/>
            <rFont val="Tahoma"/>
            <family val="2"/>
          </rPr>
          <t>2011.9.15-2012.8.31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25602.5</t>
        </r>
        <r>
          <rPr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2000*6=12000</t>
        </r>
        <r>
          <rPr>
            <sz val="9"/>
            <color indexed="81"/>
            <rFont val="宋体"/>
            <family val="3"/>
            <charset val="134"/>
          </rPr>
          <t>元，</t>
        </r>
        <r>
          <rPr>
            <sz val="9"/>
            <color indexed="81"/>
            <rFont val="Tahoma"/>
            <family val="2"/>
          </rPr>
          <t>2013.3.1-2014.8.31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 xml:space="preserve">2500*18*0.9=40500
</t>
        </r>
      </text>
    </comment>
    <comment ref="I6" authorId="1">
      <text>
        <r>
          <rPr>
            <sz val="9"/>
            <color indexed="81"/>
            <rFont val="Tahoma"/>
            <family val="2"/>
          </rPr>
          <t>2011.9.5-2012.8.31</t>
        </r>
        <r>
          <rPr>
            <sz val="9"/>
            <color indexed="81"/>
            <rFont val="宋体"/>
            <family val="3"/>
            <charset val="134"/>
          </rPr>
          <t>餐费</t>
        </r>
        <r>
          <rPr>
            <sz val="9"/>
            <color indexed="81"/>
            <rFont val="Tahoma"/>
            <family val="2"/>
          </rPr>
          <t>4732+2012.9.1-2012.9.30</t>
        </r>
        <r>
          <rPr>
            <sz val="9"/>
            <color indexed="81"/>
            <rFont val="宋体"/>
            <family val="3"/>
            <charset val="134"/>
          </rPr>
          <t>餐费</t>
        </r>
        <r>
          <rPr>
            <sz val="9"/>
            <color indexed="81"/>
            <rFont val="Tahoma"/>
            <family val="2"/>
          </rPr>
          <t xml:space="preserve">400
</t>
        </r>
      </text>
    </comment>
    <comment ref="C7" authorId="1">
      <text>
        <r>
          <rPr>
            <sz val="9"/>
            <color indexed="81"/>
            <rFont val="Tahoma"/>
            <family val="2"/>
          </rPr>
          <t>2012.8.24</t>
        </r>
        <r>
          <rPr>
            <sz val="9"/>
            <color indexed="81"/>
            <rFont val="宋体"/>
            <family val="3"/>
            <charset val="134"/>
          </rPr>
          <t>缴纳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12000</t>
        </r>
        <r>
          <rPr>
            <sz val="9"/>
            <color indexed="81"/>
            <rFont val="宋体"/>
            <family val="3"/>
            <charset val="134"/>
          </rPr>
          <t>元、餐费</t>
        </r>
        <r>
          <rPr>
            <sz val="9"/>
            <color indexed="81"/>
            <rFont val="Tahoma"/>
            <family val="2"/>
          </rPr>
          <t>2400</t>
        </r>
        <r>
          <rPr>
            <sz val="9"/>
            <color indexed="81"/>
            <rFont val="宋体"/>
            <family val="3"/>
            <charset val="134"/>
          </rPr>
          <t>元、一次性用品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元、杂费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元，共计</t>
        </r>
        <r>
          <rPr>
            <sz val="9"/>
            <color indexed="81"/>
            <rFont val="Tahoma"/>
            <family val="2"/>
          </rPr>
          <t>15700</t>
        </r>
        <r>
          <rPr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根据</t>
        </r>
        <r>
          <rPr>
            <sz val="9"/>
            <color indexed="81"/>
            <rFont val="Tahoma"/>
            <family val="2"/>
          </rPr>
          <t>2014.1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月份的出勤情况，退学费</t>
        </r>
        <r>
          <rPr>
            <sz val="9"/>
            <color indexed="81"/>
            <rFont val="Tahoma"/>
            <family val="2"/>
          </rPr>
          <t>1250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240</t>
        </r>
        <r>
          <rPr>
            <sz val="9"/>
            <color indexed="81"/>
            <rFont val="宋体"/>
            <family val="3"/>
            <charset val="134"/>
          </rPr>
          <t>元，用于抵扣舞蹈课费</t>
        </r>
        <r>
          <rPr>
            <sz val="9"/>
            <color indexed="81"/>
            <rFont val="Tahoma"/>
            <family val="2"/>
          </rPr>
          <t>960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530</t>
        </r>
        <r>
          <rPr>
            <sz val="9"/>
            <color indexed="81"/>
            <rFont val="宋体"/>
            <family val="3"/>
            <charset val="134"/>
          </rPr>
          <t>元，作为备用金，未退。</t>
        </r>
      </text>
    </comment>
    <comment ref="C8" authorId="1">
      <text>
        <r>
          <rPr>
            <sz val="9"/>
            <color indexed="81"/>
            <rFont val="Tahoma"/>
            <family val="2"/>
          </rPr>
          <t>2012.8.29</t>
        </r>
        <r>
          <rPr>
            <sz val="9"/>
            <color indexed="81"/>
            <rFont val="宋体"/>
            <family val="3"/>
            <charset val="134"/>
          </rPr>
          <t>缴纳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3000*6=18000</t>
        </r>
        <r>
          <rPr>
            <sz val="9"/>
            <color indexed="81"/>
            <rFont val="宋体"/>
            <family val="3"/>
            <charset val="134"/>
          </rPr>
          <t>、餐费</t>
        </r>
        <r>
          <rPr>
            <sz val="9"/>
            <color indexed="81"/>
            <rFont val="Tahoma"/>
            <family val="2"/>
          </rPr>
          <t>2400</t>
        </r>
        <r>
          <rPr>
            <sz val="9"/>
            <color indexed="81"/>
            <rFont val="宋体"/>
            <family val="3"/>
            <charset val="134"/>
          </rPr>
          <t>元、一次性用品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元、杂费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元、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校车费</t>
        </r>
        <r>
          <rPr>
            <sz val="9"/>
            <color indexed="81"/>
            <rFont val="Tahoma"/>
            <family val="2"/>
          </rPr>
          <t>1200</t>
        </r>
        <r>
          <rPr>
            <sz val="9"/>
            <color indexed="81"/>
            <rFont val="宋体"/>
            <family val="3"/>
            <charset val="134"/>
          </rPr>
          <t>元合计</t>
        </r>
        <r>
          <rPr>
            <sz val="9"/>
            <color indexed="81"/>
            <rFont val="Tahoma"/>
            <family val="2"/>
          </rPr>
          <t>22900</t>
        </r>
        <r>
          <rPr>
            <sz val="9"/>
            <color indexed="81"/>
            <rFont val="宋体"/>
            <family val="3"/>
            <charset val="134"/>
          </rPr>
          <t>元，减去已交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3000*6=18000</t>
        </r>
        <r>
          <rPr>
            <sz val="9"/>
            <color indexed="81"/>
            <rFont val="宋体"/>
            <family val="3"/>
            <charset val="134"/>
          </rPr>
          <t>元，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月手足口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元，实收</t>
        </r>
        <r>
          <rPr>
            <sz val="9"/>
            <color indexed="81"/>
            <rFont val="Tahoma"/>
            <family val="2"/>
          </rPr>
          <t>3400</t>
        </r>
        <r>
          <rPr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1">
      <text>
        <r>
          <rPr>
            <sz val="9"/>
            <color indexed="81"/>
            <rFont val="宋体"/>
            <family val="3"/>
            <charset val="134"/>
          </rPr>
          <t>6月手足口退学费1500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>
      <text>
        <r>
          <rPr>
            <sz val="9"/>
            <color indexed="81"/>
            <rFont val="Tahoma"/>
            <family val="2"/>
          </rPr>
          <t>2012.9.10</t>
        </r>
        <r>
          <rPr>
            <sz val="9"/>
            <color indexed="81"/>
            <rFont val="宋体"/>
            <family val="3"/>
            <charset val="134"/>
          </rPr>
          <t>缴纳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3000*6=18000</t>
        </r>
        <r>
          <rPr>
            <sz val="9"/>
            <color indexed="81"/>
            <rFont val="宋体"/>
            <family val="3"/>
            <charset val="134"/>
          </rPr>
          <t>元、餐费</t>
        </r>
        <r>
          <rPr>
            <sz val="9"/>
            <color indexed="81"/>
            <rFont val="Tahoma"/>
            <family val="2"/>
          </rPr>
          <t>2400</t>
        </r>
        <r>
          <rPr>
            <sz val="9"/>
            <color indexed="81"/>
            <rFont val="宋体"/>
            <family val="3"/>
            <charset val="134"/>
          </rPr>
          <t>元、一次性用品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元、杂费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元共计</t>
        </r>
        <r>
          <rPr>
            <sz val="9"/>
            <color indexed="81"/>
            <rFont val="Tahoma"/>
            <family val="2"/>
          </rPr>
          <t>21700</t>
        </r>
        <r>
          <rPr>
            <sz val="9"/>
            <color indexed="81"/>
            <rFont val="宋体"/>
            <family val="3"/>
            <charset val="134"/>
          </rPr>
          <t>元，应退已交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18000</t>
        </r>
        <r>
          <rPr>
            <sz val="9"/>
            <color indexed="81"/>
            <rFont val="宋体"/>
            <family val="3"/>
            <charset val="134"/>
          </rPr>
          <t>元、餐费</t>
        </r>
        <r>
          <rPr>
            <sz val="9"/>
            <color indexed="81"/>
            <rFont val="Tahoma"/>
            <family val="2"/>
          </rPr>
          <t>1200</t>
        </r>
        <r>
          <rPr>
            <sz val="9"/>
            <color indexed="81"/>
            <rFont val="宋体"/>
            <family val="3"/>
            <charset val="134"/>
          </rPr>
          <t>元，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月手足口学费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100</t>
        </r>
        <r>
          <rPr>
            <sz val="9"/>
            <color indexed="81"/>
            <rFont val="宋体"/>
            <family val="3"/>
            <charset val="134"/>
          </rPr>
          <t>元，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月出勤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天半月学费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元共计</t>
        </r>
        <r>
          <rPr>
            <sz val="9"/>
            <color indexed="81"/>
            <rFont val="Tahoma"/>
            <family val="2"/>
          </rPr>
          <t>22300</t>
        </r>
        <r>
          <rPr>
            <sz val="9"/>
            <color indexed="81"/>
            <rFont val="宋体"/>
            <family val="3"/>
            <charset val="134"/>
          </rPr>
          <t>元，实际应退</t>
        </r>
        <r>
          <rPr>
            <sz val="9"/>
            <color indexed="81"/>
            <rFont val="Tahoma"/>
            <family val="2"/>
          </rPr>
          <t>600</t>
        </r>
        <r>
          <rPr>
            <sz val="9"/>
            <color indexed="81"/>
            <rFont val="宋体"/>
            <family val="3"/>
            <charset val="134"/>
          </rPr>
          <t>元，</t>
        </r>
        <r>
          <rPr>
            <sz val="9"/>
            <color indexed="81"/>
            <rFont val="Tahoma"/>
            <family val="2"/>
          </rPr>
          <t>2013.3.19</t>
        </r>
        <r>
          <rPr>
            <sz val="9"/>
            <color indexed="81"/>
            <rFont val="宋体"/>
            <family val="3"/>
            <charset val="134"/>
          </rPr>
          <t>已退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1">
      <text>
        <r>
          <rPr>
            <sz val="9"/>
            <color indexed="81"/>
            <rFont val="Tahoma"/>
            <family val="2"/>
          </rPr>
          <t>2012.8.15</t>
        </r>
        <r>
          <rPr>
            <sz val="9"/>
            <color indexed="81"/>
            <rFont val="宋体"/>
            <family val="3"/>
            <charset val="134"/>
          </rPr>
          <t>该生缴纳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2000*6=12000</t>
        </r>
        <r>
          <rPr>
            <sz val="9"/>
            <color indexed="81"/>
            <rFont val="宋体"/>
            <family val="3"/>
            <charset val="134"/>
          </rPr>
          <t>元，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餐费</t>
        </r>
        <r>
          <rPr>
            <sz val="9"/>
            <color indexed="81"/>
            <rFont val="Tahoma"/>
            <family val="2"/>
          </rPr>
          <t>400*6=2400</t>
        </r>
        <r>
          <rPr>
            <sz val="9"/>
            <color indexed="81"/>
            <rFont val="宋体"/>
            <family val="3"/>
            <charset val="134"/>
          </rPr>
          <t>元，校车费</t>
        </r>
        <r>
          <rPr>
            <sz val="9"/>
            <color indexed="81"/>
            <rFont val="Tahoma"/>
            <family val="2"/>
          </rPr>
          <t>200*6=1200</t>
        </r>
        <r>
          <rPr>
            <sz val="9"/>
            <color indexed="81"/>
            <rFont val="宋体"/>
            <family val="3"/>
            <charset val="134"/>
          </rPr>
          <t>元，一次性物品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元，杂费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元，共计</t>
        </r>
        <r>
          <rPr>
            <sz val="9"/>
            <color indexed="81"/>
            <rFont val="Tahoma"/>
            <family val="2"/>
          </rPr>
          <t>16900</t>
        </r>
        <r>
          <rPr>
            <sz val="9"/>
            <color indexed="81"/>
            <rFont val="宋体"/>
            <family val="3"/>
            <charset val="134"/>
          </rPr>
          <t>元整，应退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月半月学费</t>
        </r>
        <r>
          <rPr>
            <sz val="9"/>
            <color indexed="81"/>
            <rFont val="Tahoma"/>
            <family val="2"/>
          </rPr>
          <t>1100</t>
        </r>
        <r>
          <rPr>
            <sz val="9"/>
            <color indexed="81"/>
            <rFont val="宋体"/>
            <family val="3"/>
            <charset val="134"/>
          </rPr>
          <t>元，八月请一个月假，扣除</t>
        </r>
        <r>
          <rPr>
            <sz val="9"/>
            <color indexed="81"/>
            <rFont val="Tahoma"/>
            <family val="2"/>
          </rPr>
          <t>15%</t>
        </r>
        <r>
          <rPr>
            <sz val="9"/>
            <color indexed="81"/>
            <rFont val="宋体"/>
            <family val="3"/>
            <charset val="134"/>
          </rPr>
          <t>占位费，应退</t>
        </r>
        <r>
          <rPr>
            <sz val="9"/>
            <color indexed="81"/>
            <rFont val="Tahoma"/>
            <family val="2"/>
          </rPr>
          <t>2200-2200*15%=1870</t>
        </r>
        <r>
          <rPr>
            <sz val="9"/>
            <color indexed="81"/>
            <rFont val="宋体"/>
            <family val="3"/>
            <charset val="134"/>
          </rPr>
          <t>元，合计</t>
        </r>
        <r>
          <rPr>
            <sz val="9"/>
            <color indexed="81"/>
            <rFont val="Tahoma"/>
            <family val="2"/>
          </rPr>
          <t>2970</t>
        </r>
        <r>
          <rPr>
            <sz val="9"/>
            <color indexed="81"/>
            <rFont val="宋体"/>
            <family val="3"/>
            <charset val="134"/>
          </rPr>
          <t>元整，实际应收</t>
        </r>
        <r>
          <rPr>
            <sz val="9"/>
            <color indexed="81"/>
            <rFont val="Tahoma"/>
            <family val="2"/>
          </rPr>
          <t>13930</t>
        </r>
        <r>
          <rPr>
            <sz val="9"/>
            <color indexed="81"/>
            <rFont val="宋体"/>
            <family val="3"/>
            <charset val="134"/>
          </rPr>
          <t>元。</t>
        </r>
        <r>
          <rPr>
            <sz val="9"/>
            <color indexed="81"/>
            <rFont val="Tahoma"/>
            <family val="2"/>
          </rPr>
          <t>8.31</t>
        </r>
        <r>
          <rPr>
            <sz val="9"/>
            <color indexed="81"/>
            <rFont val="宋体"/>
            <family val="3"/>
            <charset val="134"/>
          </rPr>
          <t>前款项已清。
根据</t>
        </r>
        <r>
          <rPr>
            <sz val="9"/>
            <color indexed="81"/>
            <rFont val="Tahoma"/>
            <family val="2"/>
          </rPr>
          <t>2013.4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月份的出勤情况，退学费</t>
        </r>
        <r>
          <rPr>
            <sz val="9"/>
            <color indexed="81"/>
            <rFont val="Tahoma"/>
            <family val="2"/>
          </rPr>
          <t>6000</t>
        </r>
        <r>
          <rPr>
            <sz val="9"/>
            <color indexed="81"/>
            <rFont val="宋体"/>
            <family val="3"/>
            <charset val="134"/>
          </rPr>
          <t>元，用于抵扣学费</t>
        </r>
        <r>
          <rPr>
            <sz val="9"/>
            <color indexed="81"/>
            <rFont val="Tahoma"/>
            <family val="2"/>
          </rPr>
          <t>3000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2013.9.1-2013.9.30</t>
        </r>
        <r>
          <rPr>
            <sz val="9"/>
            <color indexed="81"/>
            <rFont val="宋体"/>
            <family val="3"/>
            <charset val="134"/>
          </rPr>
          <t>）以及杂费</t>
        </r>
        <r>
          <rPr>
            <sz val="9"/>
            <color indexed="81"/>
            <rFont val="Tahoma"/>
            <family val="2"/>
          </rPr>
          <t>480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400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2013.9.1-2013.9.30</t>
        </r>
        <r>
          <rPr>
            <sz val="9"/>
            <color indexed="81"/>
            <rFont val="宋体"/>
            <family val="3"/>
            <charset val="134"/>
          </rPr>
          <t>）班车费</t>
        </r>
        <r>
          <rPr>
            <sz val="9"/>
            <color indexed="81"/>
            <rFont val="Tahoma"/>
            <family val="2"/>
          </rPr>
          <t>400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2013.9.1-2013.9.30</t>
        </r>
        <r>
          <rPr>
            <sz val="9"/>
            <color indexed="81"/>
            <rFont val="宋体"/>
            <family val="3"/>
            <charset val="134"/>
          </rPr>
          <t>），剩余</t>
        </r>
        <r>
          <rPr>
            <sz val="9"/>
            <color indexed="81"/>
            <rFont val="Tahoma"/>
            <family val="2"/>
          </rPr>
          <t>1720</t>
        </r>
        <r>
          <rPr>
            <sz val="9"/>
            <color indexed="81"/>
            <rFont val="宋体"/>
            <family val="3"/>
            <charset val="134"/>
          </rPr>
          <t>元，作为备用金，</t>
        </r>
        <r>
          <rPr>
            <sz val="9"/>
            <color indexed="81"/>
            <rFont val="Tahoma"/>
            <family val="2"/>
          </rPr>
          <t>2013.9.24</t>
        </r>
        <r>
          <rPr>
            <sz val="9"/>
            <color indexed="81"/>
            <rFont val="宋体"/>
            <family val="3"/>
            <charset val="134"/>
          </rPr>
          <t>日备用金已退。</t>
        </r>
      </text>
    </comment>
    <comment ref="G10" authorId="1">
      <text>
        <r>
          <rPr>
            <sz val="9"/>
            <color indexed="81"/>
            <rFont val="Tahoma"/>
            <family val="2"/>
          </rPr>
          <t>1100</t>
        </r>
        <r>
          <rPr>
            <sz val="9"/>
            <color indexed="81"/>
            <rFont val="宋体"/>
            <family val="3"/>
            <charset val="134"/>
          </rPr>
          <t>为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月份出勤不到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天退半月学费，</t>
        </r>
        <r>
          <rPr>
            <sz val="9"/>
            <color indexed="81"/>
            <rFont val="Tahoma"/>
            <family val="2"/>
          </rPr>
          <t>2200-2200*15%</t>
        </r>
        <r>
          <rPr>
            <sz val="9"/>
            <color indexed="81"/>
            <rFont val="宋体"/>
            <family val="3"/>
            <charset val="134"/>
          </rPr>
          <t>为</t>
        </r>
        <r>
          <rPr>
            <sz val="9"/>
            <color indexed="81"/>
            <rFont val="Tahoma"/>
            <family val="2"/>
          </rPr>
          <t>8</t>
        </r>
        <r>
          <rPr>
            <sz val="9"/>
            <color indexed="81"/>
            <rFont val="宋体"/>
            <family val="3"/>
            <charset val="134"/>
          </rPr>
          <t>月份请假一个月应退学费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根据2013.9、11月的出勤情况，退学费2500元，餐费420元，共计2920元，用于抵扣小提琴课费1600元，剩余1320元，作为备用金，2014.1.16备用金已退。
根据2014.1、2月份的出勤情况，退学费3250元，餐费595元，共计3845元，用于抵扣小提琴课费1600元以及美术课费960元，剩余1285元，作为备用金，未退。</t>
        </r>
      </text>
    </comment>
    <comment ref="C12" authorId="1">
      <text>
        <r>
          <rPr>
            <sz val="9"/>
            <color indexed="8"/>
            <rFont val="宋体"/>
            <family val="3"/>
            <charset val="134"/>
          </rPr>
          <t>2012.8.3缴纳2012.9.1-2013.2.28学费3000*6=18000元、餐费400*6=2400元、一次性用品1200元、杂费300元，应收合计21900元。应退餐费由360/月掉到200/月差额16*6=960元、六月蒙氏手足口学费1500元、餐费100元，应退合计2560元，实际收款19340元整。但由于老生一次性用品1000元，多收200元，2013.3.1日200元已退</t>
        </r>
      </text>
    </comment>
    <comment ref="D12" authorId="1">
      <text>
        <r>
          <rPr>
            <b/>
            <sz val="9"/>
            <color indexed="81"/>
            <rFont val="Tahoma"/>
            <family val="2"/>
          </rPr>
          <t>2012.8.3</t>
        </r>
        <r>
          <rPr>
            <b/>
            <sz val="9"/>
            <color indexed="81"/>
            <rFont val="宋体"/>
            <family val="3"/>
            <charset val="134"/>
          </rPr>
          <t>缴纳</t>
        </r>
        <r>
          <rPr>
            <b/>
            <sz val="9"/>
            <color indexed="81"/>
            <rFont val="Tahoma"/>
            <family val="2"/>
          </rPr>
          <t>1200+300=1500</t>
        </r>
        <r>
          <rPr>
            <b/>
            <sz val="9"/>
            <color indexed="81"/>
            <rFont val="宋体"/>
            <family val="3"/>
            <charset val="134"/>
          </rPr>
          <t>元由于是老生，一次性用品</t>
        </r>
        <r>
          <rPr>
            <b/>
            <sz val="9"/>
            <color indexed="81"/>
            <rFont val="Tahoma"/>
            <family val="2"/>
          </rPr>
          <t>1000</t>
        </r>
        <r>
          <rPr>
            <b/>
            <sz val="9"/>
            <color indexed="81"/>
            <rFont val="宋体"/>
            <family val="3"/>
            <charset val="134"/>
          </rPr>
          <t>元，多首</t>
        </r>
        <r>
          <rPr>
            <b/>
            <sz val="9"/>
            <color indexed="81"/>
            <rFont val="Tahoma"/>
            <family val="2"/>
          </rPr>
          <t>200</t>
        </r>
        <r>
          <rPr>
            <b/>
            <sz val="9"/>
            <color indexed="81"/>
            <rFont val="宋体"/>
            <family val="3"/>
            <charset val="134"/>
          </rPr>
          <t>元，顺延至</t>
        </r>
        <r>
          <rPr>
            <b/>
            <sz val="9"/>
            <color indexed="81"/>
            <rFont val="Tahoma"/>
            <family val="2"/>
          </rPr>
          <t>2013.3</t>
        </r>
        <r>
          <rPr>
            <b/>
            <sz val="9"/>
            <color indexed="81"/>
            <rFont val="宋体"/>
            <family val="3"/>
            <charset val="134"/>
          </rPr>
          <t>月份学费</t>
        </r>
      </text>
    </comment>
    <comment ref="G12" authorId="1">
      <text>
        <r>
          <rPr>
            <b/>
            <sz val="9"/>
            <color indexed="81"/>
            <rFont val="Tahoma"/>
            <family val="2"/>
          </rPr>
          <t>2012.8.3</t>
        </r>
        <r>
          <rPr>
            <b/>
            <sz val="9"/>
            <color indexed="81"/>
            <rFont val="宋体"/>
            <family val="3"/>
            <charset val="134"/>
          </rPr>
          <t>缴纳</t>
        </r>
        <r>
          <rPr>
            <b/>
            <sz val="9"/>
            <color indexed="81"/>
            <rFont val="Tahoma"/>
            <family val="2"/>
          </rPr>
          <t>2012.9.1-2013.2.28</t>
        </r>
        <r>
          <rPr>
            <b/>
            <sz val="9"/>
            <color indexed="81"/>
            <rFont val="宋体"/>
            <family val="3"/>
            <charset val="134"/>
          </rPr>
          <t>日学费</t>
        </r>
        <r>
          <rPr>
            <b/>
            <sz val="9"/>
            <color indexed="81"/>
            <rFont val="Tahoma"/>
            <family val="2"/>
          </rPr>
          <t xml:space="preserve">  </t>
        </r>
        <r>
          <rPr>
            <b/>
            <sz val="9"/>
            <color indexed="81"/>
            <rFont val="宋体"/>
            <family val="3"/>
            <charset val="134"/>
          </rPr>
          <t>扣除</t>
        </r>
        <r>
          <rPr>
            <b/>
            <sz val="9"/>
            <color indexed="81"/>
            <rFont val="Tahoma"/>
            <family val="2"/>
          </rPr>
          <t>2012.6</t>
        </r>
        <r>
          <rPr>
            <b/>
            <sz val="9"/>
            <color indexed="81"/>
            <rFont val="宋体"/>
            <family val="3"/>
            <charset val="134"/>
          </rPr>
          <t>月份手足口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宋体"/>
            <family val="3"/>
            <charset val="134"/>
          </rPr>
          <t>；</t>
        </r>
        <r>
          <rPr>
            <b/>
            <sz val="9"/>
            <color indexed="81"/>
            <rFont val="Tahoma"/>
            <family val="2"/>
          </rPr>
          <t>2012.8.3</t>
        </r>
        <r>
          <rPr>
            <b/>
            <sz val="9"/>
            <color indexed="81"/>
            <rFont val="宋体"/>
            <family val="3"/>
            <charset val="134"/>
          </rPr>
          <t>缴纳</t>
        </r>
        <r>
          <rPr>
            <b/>
            <sz val="9"/>
            <color indexed="81"/>
            <rFont val="Tahoma"/>
            <family val="2"/>
          </rPr>
          <t>1200+300=1500</t>
        </r>
        <r>
          <rPr>
            <b/>
            <sz val="9"/>
            <color indexed="81"/>
            <rFont val="宋体"/>
            <family val="3"/>
            <charset val="134"/>
          </rPr>
          <t>元由于是老生，一次性用品</t>
        </r>
        <r>
          <rPr>
            <b/>
            <sz val="9"/>
            <color indexed="81"/>
            <rFont val="Tahoma"/>
            <family val="2"/>
          </rPr>
          <t>1000</t>
        </r>
        <r>
          <rPr>
            <b/>
            <sz val="9"/>
            <color indexed="81"/>
            <rFont val="宋体"/>
            <family val="3"/>
            <charset val="134"/>
          </rPr>
          <t>元，多首</t>
        </r>
        <r>
          <rPr>
            <b/>
            <sz val="9"/>
            <color indexed="81"/>
            <rFont val="Tahoma"/>
            <family val="2"/>
          </rPr>
          <t>200</t>
        </r>
        <r>
          <rPr>
            <b/>
            <sz val="9"/>
            <color indexed="81"/>
            <rFont val="宋体"/>
            <family val="3"/>
            <charset val="134"/>
          </rPr>
          <t>元，顺延至</t>
        </r>
        <r>
          <rPr>
            <b/>
            <sz val="9"/>
            <color indexed="81"/>
            <rFont val="Tahoma"/>
            <family val="2"/>
          </rPr>
          <t>2013.3</t>
        </r>
        <r>
          <rPr>
            <b/>
            <sz val="9"/>
            <color indexed="81"/>
            <rFont val="宋体"/>
            <family val="3"/>
            <charset val="134"/>
          </rPr>
          <t>月份学费</t>
        </r>
      </text>
    </comment>
    <comment ref="I12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由于政策2012.2月份调整餐费由每月360元调整200差额调整4个半月，在2012.8月交费时补齐。餐费2012.8.3日缴纳餐费补齐到2013.2.28，扣除2012.6月份手足口餐费100元400*6-160*6-100=1340元整</t>
        </r>
      </text>
    </comment>
    <comment ref="C1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多出3个月的班车费</t>
        </r>
      </text>
    </comment>
    <comment ref="C15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2013.10、11月的出勤情况，退学费1250元，退餐费270元，共计1520元，用于抵扣餐费400元（2013.12.1-2013.12.31），剩余1120元，作为备用金，2013.12.19备用金用于抵扣餐费400元（2014.1.1-2014.1.31），剩余720元，作为备用金，2014.1.15备用金已退。
根据2014.1、2月份的出勤情况退学费3250元，餐费150元，共计3400元，用于抵扣小提琴课费1600元，剩余1800元，作为备用金，未退。</t>
        </r>
      </text>
    </comment>
    <comment ref="D16" authorId="1">
      <text>
        <r>
          <rPr>
            <sz val="9"/>
            <color indexed="81"/>
            <rFont val="Tahoma"/>
            <family val="2"/>
          </rPr>
          <t>800</t>
        </r>
        <r>
          <rPr>
            <sz val="9"/>
            <color indexed="81"/>
            <rFont val="宋体"/>
            <family val="3"/>
            <charset val="134"/>
          </rPr>
          <t>为</t>
        </r>
        <r>
          <rPr>
            <sz val="9"/>
            <color indexed="81"/>
            <rFont val="Tahoma"/>
            <family val="2"/>
          </rPr>
          <t>2012.5.8</t>
        </r>
        <r>
          <rPr>
            <sz val="9"/>
            <color indexed="81"/>
            <rFont val="宋体"/>
            <family val="3"/>
            <charset val="134"/>
          </rPr>
          <t>缴纳杂费</t>
        </r>
      </text>
    </comment>
    <comment ref="C18" authorId="2">
      <text>
        <r>
          <rPr>
            <sz val="9"/>
            <color indexed="81"/>
            <rFont val="宋体"/>
            <family val="3"/>
            <charset val="134"/>
          </rPr>
          <t xml:space="preserve">陆泓铭小朋友9月11月的出勤情况，学费1000元餐费255元，校车费200元，应退1455元，用于抵2013.1月份的餐费，剩余备用金1055元，
2013.2.26备用金1055元已退.
根据陆泓铭2013.2月份的出勤情况，退学费1500元，校车费200元，用于抵扣2013.4、5、6月份餐费，剩余500元，作为备用金，2013.6.25备用金用于抵扣2013.7.1-2013.7.31餐费，剩余100元，2013.9.2已退
</t>
        </r>
      </text>
    </comment>
    <comment ref="C20" authorId="2">
      <text>
        <r>
          <rPr>
            <sz val="9"/>
            <color indexed="81"/>
            <rFont val="宋体"/>
            <family val="3"/>
            <charset val="134"/>
          </rPr>
          <t>根据2013.2、4、5、6、7、8月份的出勤情况，退学费4375元，餐费1325元，班车费200元，共计5900元，用于抵扣杂费（2013.9.1-2014.2.28）餐费2400元（2013.9.1-2014.2.28）和趣味美术课费60*16=960元，剩余1940元，作为备用金。2013.10.31用于抵扣班车费1600元（2013.11.1-2014.2.28），剩余340元，作为备用金，2014.1.10备用金已退。</t>
        </r>
      </text>
    </comment>
    <comment ref="E20" authorId="1">
      <text>
        <r>
          <rPr>
            <sz val="9"/>
            <color indexed="81"/>
            <rFont val="Tahoma"/>
            <family val="2"/>
          </rPr>
          <t>2012.8.10</t>
        </r>
        <r>
          <rPr>
            <sz val="9"/>
            <color indexed="81"/>
            <rFont val="宋体"/>
            <family val="3"/>
            <charset val="134"/>
          </rPr>
          <t>校车费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2" authorId="2">
      <text>
        <r>
          <rPr>
            <sz val="9"/>
            <color indexed="81"/>
            <rFont val="宋体"/>
            <family val="3"/>
            <charset val="134"/>
          </rPr>
          <t>根据梁思聪小朋友2013.2月份的出勤情况，退学费2000元，班车费200元，合计2200元，用于抵扣2013.4、5、6月份餐费以及趣味美术课费16*60=960元，剩余40元，作为备用金，2013.6.19已退。
根据2013.8月份的出勤情况，退学费2000元，用于抵扣轮滑课费和跆拳道课费55*16+55*16=1760元，剩余240元，作为备用金，2013.9.17备用金已退。</t>
        </r>
      </text>
    </comment>
    <comment ref="A2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2013.8月</t>
        </r>
      </text>
    </comment>
    <comment ref="C2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李莎莎老师的亲属        
根据董玹小朋友12、1、2月的出勤情况，退学费1000元，餐费225元，共计1225元，以上用于抵扣2013.3、4、5月餐费，剩余25元，作为备用金，2013.5.24日已退。
根据董玹小朋友2013.5月的出勤情况，退学费1000元，餐费180元，共计1180元，用于抵扣餐费（2013.7.1-2013.8.31），剩余380元，作为备用金，未退。
根据_董玹_小朋友在  2013.6、7 月的出勤情况，幼儿园应退保教费__1000__元、餐费__255__元，共计___1255_元。备用金380元，共计1635元以上金额用于 抵扣餐费（2013.9.1-2013.10.31），杂费600元（2013.9.1-2014.2.28）剩余235元，作为备用金，未退。2013.12.13备用金已退。</t>
        </r>
      </text>
    </comment>
    <comment ref="D2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一次性物品+2012.9.1-2013.8.31杂费（2学期）</t>
        </r>
      </text>
    </comment>
    <comment ref="D24" authorId="1">
      <text>
        <r>
          <rPr>
            <b/>
            <sz val="9"/>
            <color indexed="81"/>
            <rFont val="宋体"/>
            <family val="3"/>
            <charset val="134"/>
          </rPr>
          <t>先交五百定金7.5交学费</t>
        </r>
      </text>
    </comment>
    <comment ref="C25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根据2014.2月份的出勤情况，退学费1750元，餐费105元，共计1855元，用于抵扣舞蹈课费960元，剩余895元，作为备用金。未退。</t>
        </r>
      </text>
    </comment>
    <comment ref="D25" authorId="1">
      <text>
        <r>
          <rPr>
            <sz val="9"/>
            <color indexed="81"/>
            <rFont val="Tahoma"/>
            <family val="2"/>
          </rPr>
          <t>2012.6.30</t>
        </r>
        <r>
          <rPr>
            <sz val="9"/>
            <color indexed="81"/>
            <rFont val="宋体"/>
            <family val="3"/>
            <charset val="134"/>
          </rPr>
          <t>交报名费，</t>
        </r>
        <r>
          <rPr>
            <sz val="9"/>
            <color indexed="81"/>
            <rFont val="Tahoma"/>
            <family val="2"/>
          </rPr>
          <t>7.5</t>
        </r>
        <r>
          <rPr>
            <sz val="9"/>
            <color indexed="81"/>
            <rFont val="宋体"/>
            <family val="3"/>
            <charset val="134"/>
          </rPr>
          <t>交学费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1">
      <text>
        <r>
          <rPr>
            <b/>
            <sz val="9"/>
            <color indexed="81"/>
            <rFont val="宋体"/>
            <family val="3"/>
            <charset val="134"/>
          </rPr>
          <t>有</t>
        </r>
        <r>
          <rPr>
            <b/>
            <sz val="9"/>
            <color indexed="81"/>
            <rFont val="Tahoma"/>
            <family val="2"/>
          </rPr>
          <t>100</t>
        </r>
        <r>
          <rPr>
            <b/>
            <sz val="9"/>
            <color indexed="81"/>
            <rFont val="宋体"/>
            <family val="3"/>
            <charset val="134"/>
          </rPr>
          <t>代金券</t>
        </r>
      </text>
    </comment>
    <comment ref="C26" authorId="2">
      <text>
        <r>
          <rPr>
            <sz val="9"/>
            <color indexed="81"/>
            <rFont val="宋体"/>
            <family val="3"/>
            <charset val="134"/>
          </rPr>
          <t xml:space="preserve">根据丁若然小朋友2013.2、3、4、5、6月份的出勤情况，退学费1750元，餐费300元，班车费200元，共计2250元，用于抵扣钢琴课费16*100=1600元，剩余650元，作为备用金，2013.7.30日备用金650元用于抵扣杂费2013.9.1-2014.2.28，剩余50元，作为备用金，2014.1.9备用金已退。
</t>
        </r>
      </text>
    </comment>
    <comment ref="C2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根据2014.1、2月份的出勤情况退学费2000元，餐费475元，共计2475元，用于抵扣舞蹈课费（4-6）960元，剩余1515元，作为备用金，未退。</t>
        </r>
      </text>
    </comment>
    <comment ref="C29" authorId="2">
      <text>
        <r>
          <rPr>
            <sz val="9"/>
            <color indexed="81"/>
            <rFont val="宋体"/>
            <family val="3"/>
            <charset val="134"/>
          </rPr>
          <t>根据高圣钧小朋友2013.2、3月的出勤情况，退学费1250元，餐费195元，共计1445元，用于抵扣餐费（2013.5.1-2013.7.31），剩余245元，作为备用金，
根据2013.8月份的出勤情况退学费2000元，加上备用金共计2245元，用于抵扣餐费（2013.10.1-2014.2.28）剩余245元，作为备用金，2013.10.24备用金已退。
由于2014.5月校车改路线，退给其剩余4个月的校车费，并给予一个月的补偿，共2000元，作为备用金，未退。</t>
        </r>
      </text>
    </comment>
    <comment ref="D29" authorId="1">
      <text>
        <r>
          <rPr>
            <sz val="9"/>
            <color indexed="81"/>
            <rFont val="宋体"/>
            <family val="3"/>
            <charset val="134"/>
          </rPr>
          <t>一次性用品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宋体"/>
            <family val="3"/>
            <charset val="134"/>
          </rPr>
          <t>杂费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" authorId="1">
      <text>
        <r>
          <rPr>
            <sz val="9"/>
            <color indexed="81"/>
            <rFont val="宋体"/>
            <family val="3"/>
            <charset val="134"/>
          </rPr>
          <t>期间有</t>
        </r>
        <r>
          <rPr>
            <sz val="9"/>
            <color indexed="81"/>
            <rFont val="Tahoma"/>
            <family val="2"/>
          </rPr>
          <t>2012.10.1-2013.3.31</t>
        </r>
        <r>
          <rPr>
            <sz val="9"/>
            <color indexed="81"/>
            <rFont val="宋体"/>
            <family val="3"/>
            <charset val="134"/>
          </rPr>
          <t>改为</t>
        </r>
        <r>
          <rPr>
            <sz val="9"/>
            <color indexed="81"/>
            <rFont val="Tahoma"/>
            <family val="2"/>
          </rPr>
          <t xml:space="preserve">2012.9.1-2013.2.28
</t>
        </r>
      </text>
    </comment>
    <comment ref="D30" authorId="1">
      <text>
        <r>
          <rPr>
            <b/>
            <sz val="9"/>
            <color indexed="81"/>
            <rFont val="宋体"/>
            <family val="3"/>
            <charset val="134"/>
          </rPr>
          <t>报名费</t>
        </r>
      </text>
    </comment>
    <comment ref="E30" authorId="1">
      <text>
        <r>
          <rPr>
            <b/>
            <sz val="9"/>
            <color indexed="81"/>
            <rFont val="宋体"/>
            <family val="3"/>
            <charset val="134"/>
          </rPr>
          <t>先交</t>
        </r>
        <r>
          <rPr>
            <b/>
            <sz val="9"/>
            <color indexed="81"/>
            <rFont val="Tahoma"/>
            <family val="2"/>
          </rPr>
          <t>1000</t>
        </r>
        <r>
          <rPr>
            <b/>
            <sz val="9"/>
            <color indexed="81"/>
            <rFont val="宋体"/>
            <family val="3"/>
            <charset val="134"/>
          </rPr>
          <t>的报名费</t>
        </r>
      </text>
    </comment>
    <comment ref="C31" authorId="2">
      <text>
        <r>
          <rPr>
            <sz val="9"/>
            <color indexed="81"/>
            <rFont val="宋体"/>
            <family val="3"/>
            <charset val="134"/>
          </rPr>
          <t xml:space="preserve">根据王艺霖2013.2月份的出勤情况，退学费1000元，餐费105元，共计1105元，用于抵扣2013.3、4月份校车费，剩余305元，作为备用金，2013.9.5备用金已退
</t>
        </r>
      </text>
    </comment>
    <comment ref="D31" authorId="1">
      <text>
        <r>
          <rPr>
            <b/>
            <sz val="9"/>
            <color indexed="81"/>
            <rFont val="宋体"/>
            <family val="3"/>
            <charset val="134"/>
          </rPr>
          <t>先交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宋体"/>
            <family val="3"/>
            <charset val="134"/>
          </rPr>
          <t>报名费</t>
        </r>
      </text>
    </comment>
    <comment ref="DX31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减免800元</t>
        </r>
      </text>
    </comment>
    <comment ref="C32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王馨仪妈妈介绍飞马座朱宣同入园，有</t>
        </r>
        <r>
          <rPr>
            <sz val="9"/>
            <color indexed="81"/>
            <rFont val="Tahoma"/>
            <family val="2"/>
          </rPr>
          <t>800</t>
        </r>
        <r>
          <rPr>
            <sz val="9"/>
            <color indexed="81"/>
            <rFont val="宋体"/>
            <family val="3"/>
            <charset val="134"/>
          </rPr>
          <t>元代金券。由于</t>
        </r>
        <r>
          <rPr>
            <sz val="9"/>
            <color indexed="81"/>
            <rFont val="Tahoma"/>
            <family val="2"/>
          </rPr>
          <t>2014.5</t>
        </r>
        <r>
          <rPr>
            <sz val="9"/>
            <color indexed="81"/>
            <rFont val="宋体"/>
            <family val="3"/>
            <charset val="134"/>
          </rPr>
          <t>月校车改路线，退给其剩余</t>
        </r>
        <r>
          <rPr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宋体"/>
            <family val="3"/>
            <charset val="134"/>
          </rPr>
          <t>个月的校车费，并给予一个月的补偿，共</t>
        </r>
        <r>
          <rPr>
            <sz val="9"/>
            <color indexed="81"/>
            <rFont val="Tahoma"/>
            <family val="2"/>
          </rPr>
          <t>2000</t>
        </r>
        <r>
          <rPr>
            <sz val="9"/>
            <color indexed="81"/>
            <rFont val="宋体"/>
            <family val="3"/>
            <charset val="134"/>
          </rPr>
          <t>元，作为备用金，未退。</t>
        </r>
        <r>
          <rPr>
            <sz val="9"/>
            <color indexed="81"/>
            <rFont val="Tahoma"/>
            <family val="2"/>
          </rPr>
          <t>2014.6.12</t>
        </r>
        <r>
          <rPr>
            <sz val="9"/>
            <color indexed="81"/>
            <rFont val="宋体"/>
            <family val="3"/>
            <charset val="134"/>
          </rPr>
          <t>备用金已退，代金券已用完，用于抵扣两期小提琴课费</t>
        </r>
      </text>
    </comment>
    <comment ref="E33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2">
      <text>
        <r>
          <rPr>
            <sz val="9"/>
            <color indexed="81"/>
            <rFont val="宋体"/>
            <family val="3"/>
            <charset val="134"/>
          </rPr>
          <t xml:space="preserve">根据衣宇嘉小朋友2013.2月份的出勤情况，应退学费2000元，餐费400元，校车费200元，共计2600元，用于抵扣餐费（2013.4.1-2013.8.31），剩余600元，作为备用金，2013.8.5备用金600元已退。
</t>
        </r>
      </text>
    </comment>
    <comment ref="C3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事业部：高海轩、吴园长特批</t>
        </r>
      </text>
    </comment>
    <comment ref="C39" authorId="2">
      <text>
        <r>
          <rPr>
            <sz val="9"/>
            <color indexed="81"/>
            <rFont val="宋体"/>
            <family val="3"/>
            <charset val="134"/>
          </rPr>
          <t xml:space="preserve">
根据杨颜泽2013.1、2月份的出勤情况，退学费2000元，退餐费45元，校车费200元，共计2245元，2013.3.25日备用金已退。
根据2013.8月份的出勤情况，退学费2000元，用于抵扣餐费2013.10.1-2013.10.31，剩余1600元，作为备用金，2013.10.28备用金用于抵扣餐费2013.11.1-2013.12.31，剩余800元，2013.12.16备用金用于抵扣餐费400元（2014.1.1-2014.1.31），剩余400元，作为备用金，2014.1.17备用金已退。</t>
        </r>
      </text>
    </comment>
    <comment ref="C40" authorId="2">
      <text>
        <r>
          <rPr>
            <sz val="9"/>
            <color indexed="81"/>
            <rFont val="宋体"/>
            <family val="3"/>
            <charset val="134"/>
          </rPr>
          <t xml:space="preserve">
根据2013.8月的出勤情况，退学费2000元，用于抵扣餐费（2013.10.1-2014.2.28），无剩余。
根据2014.1、2月份的出勤情况，退学费3250元，餐费595元，共计3845元，用于抵扣钢琴课费1600元，剩余2245元，作为备用金，未退。用于抵扣钢琴课费1600元，剩余645元，作为备用金，未退。</t>
        </r>
      </text>
    </comment>
    <comment ref="C41" authorId="2">
      <text>
        <r>
          <rPr>
            <sz val="9"/>
            <color indexed="81"/>
            <rFont val="宋体"/>
            <family val="3"/>
            <charset val="134"/>
          </rPr>
          <t xml:space="preserve">
根据张芷兰小朋友2013.3月份的出勤情况，退学费1250元，餐费165元，共计1415元，用于抵扣餐费（2013.5.1-2013.7.31），剩余215元，作为备用金，未退。2013.9.11备用金已退。
2013.12.19根据2013.10、11月份的出勤情况，退学费1250元，餐费255元，用于抵扣餐费400元（2014.1.1-2014.1.31），剩余1105元，加上轮滑课费880元，共计1985元，作为备用金，2014.3.4备用金已退。</t>
        </r>
      </text>
    </comment>
    <comment ref="C43" authorId="2">
      <text>
        <r>
          <rPr>
            <sz val="9"/>
            <color indexed="81"/>
            <rFont val="宋体"/>
            <family val="3"/>
            <charset val="134"/>
          </rPr>
          <t>根据任泽蓬小朋友2013.2月份的出勤情况，退学费2000元，用于抵扣餐费（2013.4.1-2013.8.31），无剩余。
根据2013.8、9、10、11月份的出勤情况，退学费7750元，餐费520元，共计8270元，用于抵扣餐费220+400*3=1420元（2013.11.1-2014.2.28），剩余6850元，作为备用金，2014.3.3备用金已退。</t>
        </r>
      </text>
    </comment>
    <comment ref="C44" authorId="2">
      <text>
        <r>
          <rPr>
            <b/>
            <sz val="9"/>
            <color indexed="81"/>
            <rFont val="宋体"/>
            <family val="3"/>
            <charset val="134"/>
          </rPr>
          <t>校车费已退2012.10.23  共计1189元整（扣除手续费1200*0.9%=10.8）</t>
        </r>
        <r>
          <rPr>
            <sz val="9"/>
            <color indexed="81"/>
            <rFont val="宋体"/>
            <family val="3"/>
            <charset val="134"/>
          </rPr>
          <t xml:space="preserve">
根据章梓钊小朋友2013.3、4月份的出勤情况，退学费3000元，餐费520元，共计3520元，用于抵扣2013.5、6、7、8月份餐费，剩余1920元，2013.5.14日已退。</t>
        </r>
      </text>
    </comment>
    <comment ref="C45" authorId="2">
      <text>
        <r>
          <rPr>
            <sz val="9"/>
            <color indexed="81"/>
            <rFont val="宋体"/>
            <family val="3"/>
            <charset val="134"/>
          </rPr>
          <t xml:space="preserve">根据聂琳晓小朋友2013.2月份的出勤情况，退学费2000元，餐费400元，校车费200元，共计2600元，用于抵扣餐费（2013.4.1-2013.8.31）剩余600元，作为备用金，2013.8.1日备用金已退。
</t>
        </r>
      </text>
    </comment>
    <comment ref="C46" authorId="2">
      <text>
        <r>
          <rPr>
            <b/>
            <sz val="9"/>
            <color indexed="81"/>
            <rFont val="宋体"/>
            <family val="3"/>
            <charset val="134"/>
          </rPr>
          <t>zhaoys:幼儿园与孩子家长有合作关系（地暖）</t>
        </r>
        <r>
          <rPr>
            <sz val="9"/>
            <color indexed="81"/>
            <rFont val="宋体"/>
            <family val="3"/>
            <charset val="134"/>
          </rPr>
          <t xml:space="preserve">
根据2014.1、2月份的出勤情况，退学费2300元，餐费505元，共计2805元，用于抵扣舞蹈课费880元以及小小厨师课费880元，剩余1045元，作为备用金，未退。</t>
        </r>
      </text>
    </comment>
    <comment ref="C47" authorId="2">
      <text>
        <r>
          <rPr>
            <sz val="9"/>
            <color indexed="81"/>
            <rFont val="宋体"/>
            <family val="3"/>
            <charset val="134"/>
          </rPr>
          <t>张总的亲戚</t>
        </r>
      </text>
    </comment>
    <comment ref="A4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2013.8、9、11、2014.1退餐费</t>
        </r>
      </text>
    </comment>
    <comment ref="C48" authorId="2">
      <text>
        <r>
          <rPr>
            <sz val="9"/>
            <color indexed="81"/>
            <rFont val="宋体"/>
            <family val="3"/>
            <charset val="134"/>
          </rPr>
          <t xml:space="preserve">董总的孩子，只交了保险费，其他费用未交
</t>
        </r>
      </text>
    </comment>
    <comment ref="C52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b/>
            <sz val="9"/>
            <color indexed="10"/>
            <rFont val="宋体"/>
            <family val="3"/>
            <charset val="134"/>
          </rPr>
          <t>餐费300元/月</t>
        </r>
        <r>
          <rPr>
            <sz val="9"/>
            <color indexed="81"/>
            <rFont val="宋体"/>
            <family val="3"/>
            <charset val="134"/>
          </rPr>
          <t xml:space="preserve">
根据卢韵泽2013.1、2月份出勤情况，退学费3000元，餐费475元，共计3475元，用于抵扣餐费（2013.3.1-2013.5.31）以及杂费300元（2013.3.1-2013.8.31），剩余2275元，作为备用金，2013.3.12日，备用金2275元用于抵扣校车费400*2（2013.3.1-2013.4.30），剩余1475元，作为备用金，2013.4.25日用于抵扣班车费（2013.5.1-2013.6.30）以及餐费300*2（2013.6.1-2013.7.31），剩余75元，作为备用金，未退。
根据2013.5、6月份的考勤退餐费195元，学费1750元，共计1945元，加上备用金75元，共计2020元，2013.7.24用于抵扣班车费2013.8.1-2013.8.31，剩余1620元，作为备用金，未退。
2013.8.26备用金1620元已退。
2013.10.30根据2013.8、9月份的出勤情况，退学费3000元，餐费135元，共计3135元，用于抵扣班车费1200元（2013.10.1-2013.12.31）以及餐费300元（2013.12.1-2013.12.31），剩余1635元，作为备用金，加上2013.10月份应退学费3000元，餐费300元，共计4935元，用于抵扣餐费600元（2014.1.1-2014.2.28）以及班车费800元（2014.1.1-2014.2.28），剩余3535元，作为备用金，2014.1.26备用金已退。</t>
        </r>
      </text>
    </comment>
    <comment ref="C53" authorId="2">
      <text>
        <r>
          <rPr>
            <sz val="9"/>
            <color indexed="81"/>
            <rFont val="宋体"/>
            <family val="3"/>
            <charset val="134"/>
          </rPr>
          <t>根据刘凭瑞小朋友2013.3、4月份的出勤情况，退学费3250元，餐费670元，共计3920元，用于抵扣2013.6、7、8月份餐费，剩余2720元，作为备用金，2013.8.6备用金已退。
根据2013.8月份的出勤情况退学费1250元，餐费150元，共计1400元，用于抵扣餐费（2013.10.1-2013.12.31），剩余200元，作为备用金，根据2013.9、10、11月的出清情况，退学费1250元，餐费640元，加上备用金200元，共计2090元，2013.12.11用于抵扣餐费400*2=800元（2014.1.1-2014.2.28），剩余1290元，作为备用金，2014.1.10已退。</t>
        </r>
      </text>
    </comment>
    <comment ref="C54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开发票</t>
        </r>
      </text>
    </comment>
    <comment ref="C55" authorId="2">
      <text>
        <r>
          <rPr>
            <sz val="9"/>
            <color indexed="81"/>
            <rFont val="宋体"/>
            <family val="3"/>
            <charset val="134"/>
          </rPr>
          <t>根据2013.8月份的出勤情况，退学费2000元，用于抵扣餐费（2013.10.1-2013.10.31），剩余1600元，作为备用金，
2013.10.15用于抵扣餐费2013.11.1-2013.11.30，剩余1200元，2013.12.2备用金用于抵扣餐费400元（2013.12.1-2013.12.31），剩余800元，作为备用金，2014.1.23备用金已退。
根据2014.1、2月份的出勤情况，退学费4000元，用于抵扣小提琴课费1600元，餐费2400元（2014.3.1-2014.8.31），无剩余。</t>
        </r>
      </text>
    </comment>
    <comment ref="A56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2013.8退餐费</t>
        </r>
      </text>
    </comment>
    <comment ref="A57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2013.8退餐费</t>
        </r>
      </text>
    </comment>
    <comment ref="C59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根据2014.1月份的出勤情况，退学费1250元，餐费195元，共计1445元，用于抵扣泥塑课费以及材料费1010元（2.5-4），剩余435元，扣除290*0.78%=2.2的手续费，剩余432.8元，作为备用金，已退。</t>
        </r>
      </text>
    </comment>
    <comment ref="C61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8月份不来  应退学费3000元，用于抵扣杂费600元2013.9.1-2014.2.28，餐费2400元（2013.9.1-2014.2.28）</t>
        </r>
      </text>
    </comment>
    <comment ref="C62" authorId="2">
      <text>
        <r>
          <rPr>
            <sz val="9"/>
            <color indexed="81"/>
            <rFont val="宋体"/>
            <family val="3"/>
            <charset val="134"/>
          </rPr>
          <t>根据陈博延小朋友2013.4月份订的出勤情况，退学费1750元，餐费 165元，共计1915元，用于抵扣2013.5、6、7、8月份餐费，剩余315元，作为备用金，2013.8.21备用金已退。
2014.3.20小小厨师换成美术课，剩余150元材料费，作为备用金，未退。</t>
        </r>
      </text>
    </comment>
    <comment ref="C6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根据2014.1月份的出勤情况，退学费1250元，用于抵扣餐费2014.1.1-2014.1.31，补交205元，剩余1045元，作为备用金,2014.3.21备用金已退。</t>
        </r>
      </text>
    </comment>
    <comment ref="C64" authorId="2">
      <text>
        <r>
          <rPr>
            <sz val="9"/>
            <color indexed="81"/>
            <rFont val="宋体"/>
            <family val="3"/>
            <charset val="134"/>
          </rPr>
          <t xml:space="preserve">根据2013.3月份的出勤情况，退学费2000元，用于抵扣餐费（2013.4.1-2013.8.31），无剩余。
</t>
        </r>
      </text>
    </comment>
    <comment ref="C65" authorId="2">
      <text>
        <r>
          <rPr>
            <sz val="9"/>
            <color indexed="81"/>
            <rFont val="宋体"/>
            <family val="3"/>
            <charset val="134"/>
          </rPr>
          <t>根据 2013.8月的出勤情况，退学费1250元，餐费180元，共计1430元，用于抵扣舞蹈课费960元以及餐费400元（2013.10.1-2013.10.31），剩余70元作为备用金，2013.9.9备用金已退。
根据2014.2月份的出勤情况，退学费1250元，餐费135元，共计1385元，用于抵扣美术课费800元，剩余585元，作为备用金，2014.3.26备用金已退。</t>
        </r>
      </text>
    </comment>
    <comment ref="C67" authorId="2">
      <text>
        <r>
          <rPr>
            <sz val="9"/>
            <color indexed="81"/>
            <rFont val="宋体"/>
            <family val="3"/>
            <charset val="134"/>
          </rPr>
          <t xml:space="preserve">
根据2013.8月份的出勤情况，退学费2125元，餐费165元，共计2290元，用于抵扣轮滑课费55*16（初级）以及泥塑课费55*16，剩余530元，作为备用金，2014.2.18用于抵扣餐费400元2014.2.1-2014.2.28，剩余130元，作为备用金，2014.2.20备用金已退。</t>
        </r>
      </text>
    </comment>
    <comment ref="C68" authorId="2">
      <text>
        <r>
          <rPr>
            <sz val="9"/>
            <color indexed="81"/>
            <rFont val="宋体"/>
            <family val="3"/>
            <charset val="134"/>
          </rPr>
          <t>根据钟艺宝小朋友2013.5月的出勤情况，应退学费1520元，餐费195元，共计1715元，用于抵扣餐费（2013.6.1-2013.8.31），剩余515元，作为备用金，2013.9.2已退
2013.12.26根据2013.11月份的出勤情况，退学费1520元，餐费150元，共计1670元，用于抵扣餐费800元（2014.1.1-2014.2.28），剩余870元，作为备用金，2014.1.7备用金已退。
根据2014.1、2月份的出勤情况，退学费1520元，餐费150元，共计1670元，用于抵扣小提琴课费1600元，剩余70元，作为备用金，未退。</t>
        </r>
      </text>
    </comment>
    <comment ref="C7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根据2014.1月份的出勤情况退学费1250元，餐费255（现金）元，共计1505元，用于抵扣美术课费960元+材料费50元，剩余495元，作为备用金，未退。</t>
        </r>
      </text>
    </comment>
    <comment ref="C72" authorId="2">
      <text>
        <r>
          <rPr>
            <sz val="9"/>
            <color indexed="81"/>
            <rFont val="宋体"/>
            <family val="3"/>
            <charset val="134"/>
          </rPr>
          <t xml:space="preserve">
根据何瑞希2013.5、6、7月的出勤情况，退学费3250元，餐费490元，共计3740元，用于抵扣餐费2400元(2013.9.1-2014.2.28)，杂费600元（2013.9.1-2014.2.28）以及补交2013.7月份的餐费，剩余520元，作为备用金，2014.3.11备用金已退。</t>
        </r>
      </text>
    </comment>
    <comment ref="A7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2013.7月、2014.1、2月</t>
        </r>
      </text>
    </comment>
    <comment ref="C7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李刚的孩子</t>
        </r>
      </text>
    </comment>
    <comment ref="C74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根据2013.9、10月份的出勤情况，退学费2000元，餐费460元，共计2460元，用于抵扣餐费1600元（2013.11.1-2014.2.28），剩余860元，作为备用金，未退。2014.3.27备用金已退</t>
        </r>
      </text>
    </comment>
    <comment ref="C75" authorId="2">
      <text>
        <r>
          <rPr>
            <sz val="9"/>
            <color indexed="81"/>
            <rFont val="宋体"/>
            <family val="3"/>
            <charset val="134"/>
          </rPr>
          <t>入园时开发票“伊特克斯惰性气体系统（北京）有限公司
根据2014.2月份的出清情况，退学费1615元，餐费135元，共计1750元，用于抵扣钢琴课费1600元，剩余150元，作为备用金，2014.3.17备用金已退。</t>
        </r>
      </text>
    </comment>
    <comment ref="D75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2013.8月份杂费免</t>
        </r>
      </text>
    </comment>
    <comment ref="D76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2013.8月份的杂费480元，用于抵扣餐费。</t>
        </r>
      </text>
    </comment>
    <comment ref="C79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根据2014.1月出勤情况，退学费1750元，餐费195元，共计1945元，用于抵扣舞蹈课费960元，剩余985元，作为备用金，未退。介绍高湲媛小朋友优惠800元，未用</t>
        </r>
      </text>
    </comment>
    <comment ref="C8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邓容致改名为谭容致</t>
        </r>
      </text>
    </comment>
    <comment ref="C81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根据2014.1月份的出勤情况退学费1750元，餐费150元，共计1900元，用于抵扣班车费1200元（2014.3.1-2014.5.31），剩余700元，作为备用金，未退。</t>
        </r>
      </text>
    </comment>
    <comment ref="C89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减免800元，用于抵扣餐费（2013.11.1-2013.12.31）
根据2014.1月份的出勤情况，退学费2730元，餐费400元，共计3130元，用于抵扣轮滑课费960元，剩余2170元，作为备用金，未退。</t>
        </r>
      </text>
    </comment>
    <comment ref="C9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、2月份的出勤情况，退学费3230元，餐费285元，共计3515元，用于抵扣舞蹈课费960元，剩余2555元，作为备用金，未退。2014.3.18用于抵扣泥塑课费45*16=720元，，以及美术课费45*16=720元，美术泥塑材料费100元，剩余1015元，作为备用金，未退。</t>
        </r>
      </text>
    </comment>
    <comment ref="C91" authorId="2">
      <text>
        <r>
          <rPr>
            <sz val="9"/>
            <color indexed="81"/>
            <rFont val="宋体"/>
            <family val="3"/>
            <charset val="134"/>
          </rPr>
          <t>根据2014.2月份的出勤情况，退学费2350元，餐费105元，共计2455元，用于抵扣轮滑课费960元，剩余1495元，作为备用金，未退。</t>
        </r>
      </text>
    </comment>
    <comment ref="C92" authorId="2">
      <text>
        <r>
          <rPr>
            <sz val="9"/>
            <color indexed="81"/>
            <rFont val="宋体"/>
            <family val="3"/>
            <charset val="134"/>
          </rPr>
          <t xml:space="preserve">
2013.4.7缴纳学费32300元，一次性费用1200元，杂费600元，餐费800元，共计34900元，现变更学期为2013.9.1-2014.2.28，学费19380元，一次性费用1200元，杂费600元，餐费800元（2013.9.1-2013.10.31），共计21980元，剩余12920元，2013.12.2备用金用于抵扣餐费800元（2013.11.1-2013.12.31），剩余12120元，作为备用金，2013.12.5备用金用于抵扣餐费400元（2014.1.1-2014.1.31），剩余11720元，2013.12.13备用金用于抵扣小提琴课费1600元，剩余10120元，作为备用金，2014.1.14备用金已退。
</t>
        </r>
      </text>
    </comment>
    <comment ref="C93" authorId="2">
      <text>
        <r>
          <rPr>
            <sz val="9"/>
            <color indexed="81"/>
            <rFont val="宋体"/>
            <family val="3"/>
            <charset val="134"/>
          </rPr>
          <t>许泽宇2013.9月入园后开发票，开2张。
公司名称：中国寰球工程公司
另介绍一名孩子郑天寿，因此在给与800元的优惠，用于抵餐费（2013.9.1-2013.10.31）
2013.12.26根据2013.9、11月份的出勤情况，退学费1615元，餐费270元，共计1885元，用于抵扣餐费1200元（2013.12.1-2014.2.28），剩余685元，作为备用金，2014.2.18备用金已退。</t>
        </r>
      </text>
    </comment>
    <comment ref="C94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根据</t>
        </r>
        <r>
          <rPr>
            <sz val="9"/>
            <color indexed="81"/>
            <rFont val="Tahoma"/>
            <family val="2"/>
          </rPr>
          <t>2014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月份的出勤情况，应退学费</t>
        </r>
        <r>
          <rPr>
            <sz val="9"/>
            <color indexed="81"/>
            <rFont val="Tahoma"/>
            <family val="2"/>
          </rPr>
          <t>3500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150</t>
        </r>
        <r>
          <rPr>
            <sz val="9"/>
            <color indexed="81"/>
            <rFont val="宋体"/>
            <family val="3"/>
            <charset val="134"/>
          </rPr>
          <t>元，共计</t>
        </r>
        <r>
          <rPr>
            <sz val="9"/>
            <color indexed="81"/>
            <rFont val="Tahoma"/>
            <family val="2"/>
          </rPr>
          <t>3650</t>
        </r>
        <r>
          <rPr>
            <sz val="9"/>
            <color indexed="81"/>
            <rFont val="宋体"/>
            <family val="3"/>
            <charset val="134"/>
          </rPr>
          <t>元，用于抵扣舞蹈课外课费用</t>
        </r>
        <r>
          <rPr>
            <sz val="9"/>
            <color indexed="81"/>
            <rFont val="Tahoma"/>
            <family val="2"/>
          </rPr>
          <t>780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2870</t>
        </r>
        <r>
          <rPr>
            <sz val="9"/>
            <color indexed="81"/>
            <rFont val="宋体"/>
            <family val="3"/>
            <charset val="134"/>
          </rPr>
          <t>元作为备用金，未退。</t>
        </r>
      </text>
    </comment>
    <comment ref="C95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根据</t>
        </r>
        <r>
          <rPr>
            <sz val="9"/>
            <color indexed="81"/>
            <rFont val="Tahoma"/>
            <family val="2"/>
          </rPr>
          <t>2014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月份的出勤情况，应退学费</t>
        </r>
        <r>
          <rPr>
            <sz val="9"/>
            <color indexed="81"/>
            <rFont val="Tahoma"/>
            <family val="2"/>
          </rPr>
          <t>3500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150</t>
        </r>
        <r>
          <rPr>
            <sz val="9"/>
            <color indexed="81"/>
            <rFont val="宋体"/>
            <family val="3"/>
            <charset val="134"/>
          </rPr>
          <t>元，共计</t>
        </r>
        <r>
          <rPr>
            <sz val="9"/>
            <color indexed="81"/>
            <rFont val="Tahoma"/>
            <family val="2"/>
          </rPr>
          <t>3650</t>
        </r>
        <r>
          <rPr>
            <sz val="9"/>
            <color indexed="81"/>
            <rFont val="宋体"/>
            <family val="3"/>
            <charset val="134"/>
          </rPr>
          <t>元，用于抵扣舞蹈课外课费用</t>
        </r>
        <r>
          <rPr>
            <sz val="9"/>
            <color indexed="81"/>
            <rFont val="Tahoma"/>
            <family val="2"/>
          </rPr>
          <t>780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2870</t>
        </r>
        <r>
          <rPr>
            <sz val="9"/>
            <color indexed="81"/>
            <rFont val="宋体"/>
            <family val="3"/>
            <charset val="134"/>
          </rPr>
          <t>元作为备用金，未退。</t>
        </r>
      </text>
    </comment>
    <comment ref="C96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岳好改成岳笑溦
2013.12.31根据2013.10.11月的出勤情况退学费2730元，餐费445元，共计3175元，用于抵扣餐费400元（2014.2.1-2014.2.28），剩余2775元，作为备用金，2014.3.6备用金已退。</t>
        </r>
      </text>
    </comment>
    <comment ref="C10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2014.3.1-2014.8.31学期赠送课外课8节。
根据2014.2月的出勤情况，退学费2730元，用于抵扣小小厨师课费480元，剩余2250元，作为备用金，已退。根据</t>
        </r>
        <r>
          <rPr>
            <sz val="9"/>
            <color indexed="81"/>
            <rFont val="宋体"/>
            <family val="3"/>
            <charset val="134"/>
          </rPr>
          <t>2014.3月的出勤情况，应退学费1615元，餐费180元，共计1795元，已退。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101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根据周隽辉2013.9、10月份的出清情况，退学费1250元，餐费240元，共计1490元，用于抵扣餐费325+400*2=1125元（2013.11.1-2014.1.31），剩余365元，作为备用金，未退。</t>
        </r>
      </text>
    </comment>
    <comment ref="C10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根据2014.1、2月份的出勤情况，退学费4630元，餐费195元，共计4825元，用于抵扣轮滑课费960元以及小提琴课费1600元，剩余2265元，作为备用金，未退。</t>
        </r>
      </text>
    </comment>
    <comment ref="C108" authorId="2">
      <text>
        <r>
          <rPr>
            <sz val="9"/>
            <color indexed="81"/>
            <rFont val="宋体"/>
            <family val="3"/>
            <charset val="134"/>
          </rPr>
          <t>减免800元用于抵扣餐费。
学费期间变更为（2013.9.16-2014.2.28）应交学费金额为19380元，剩余3230元，用于抵扣一次性费用1200元，杂费600元（2013.9.1-2014.2.28），剩余1430元，作为备用金，根据2013.9月份的出勤情况，退学费1615元，餐费150元，共计3195元，用于抵扣餐费1600元(2013.11.1-2014.2.28)，剩余1595元，作为备用金，2014.1.13备用金已退。</t>
        </r>
      </text>
    </comment>
    <comment ref="C109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的出勤情况，退学费1400元，餐费400元，共计1800元，以上金额用于抵扣小提琴课费1600元，剩余200元，作为备用金，未退。2014.3.20根据2014.2月、2013.9月的出勤情况，退学费1900元，餐费135元，加上备用金200元，共计 2235元，用于抵扣美术课费960元，剩余1275元，作为备用金，未退。</t>
        </r>
      </text>
    </comment>
    <comment ref="C11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原缴费期间2013.9.1-2014.2.28
根据2013.9、10月的出勤情况，退学费3230元，餐费180元，共计3410元，用于抵扣10月份餐费220元（补交），以及餐费1600元（2013.11.1-2014.2.28），剩余1590元作为备用金，2014.2.25备用金已退。</t>
        </r>
      </text>
    </comment>
    <comment ref="C11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根据2014.1月份的出勤情况，退学费2250元，餐费195元，共计2445元，用于抵扣泥塑课费（4-6）以及轮滑课费1760元，剩余685元，作为备用金。2014.4.10用备用金抵扣小小厨师课外课费用640元，剩余45元，未退。
</t>
        </r>
      </text>
    </comment>
    <comment ref="C114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杨方妤小朋友于2014.1.24缴纳学费19500元（2014.2.19-2014.8.31），餐费2560元（2014.2.19-2014.8.31），现变更期限为（2014.4.1-2014.8.31），应交学费15000元，应交餐费2000元，剩余5060元，作为备用金，未退。现用于抵扣班车费1200元（2014.6.1-2014.8.31），剩余3860元作为备用金，未退。</t>
        </r>
      </text>
    </comment>
    <comment ref="C117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2014.3月入园，原缴费期间2013.9.1-2014.2.28</t>
        </r>
      </text>
    </comment>
    <comment ref="C119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介绍郑奕彤小朋友，减免800元，用于抵扣餐费</t>
        </r>
      </text>
    </comment>
    <comment ref="C125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原名 郑奕彤
张亦彤</t>
        </r>
      </text>
    </comment>
    <comment ref="C134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3.17来  4月份开始做班车
</t>
        </r>
      </text>
    </comment>
    <comment ref="C136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任奕霏小朋友原交学费</t>
        </r>
        <r>
          <rPr>
            <sz val="9"/>
            <color indexed="81"/>
            <rFont val="Tahoma"/>
            <family val="2"/>
          </rPr>
          <t>19380</t>
        </r>
        <r>
          <rPr>
            <sz val="9"/>
            <color indexed="81"/>
            <rFont val="宋体"/>
            <family val="3"/>
            <charset val="134"/>
          </rPr>
          <t>元，期限为</t>
        </r>
        <r>
          <rPr>
            <sz val="9"/>
            <color indexed="81"/>
            <rFont val="Tahoma"/>
            <family val="2"/>
          </rPr>
          <t>2014.3.1-2014.8.31</t>
        </r>
        <r>
          <rPr>
            <sz val="9"/>
            <color indexed="81"/>
            <rFont val="宋体"/>
            <family val="3"/>
            <charset val="134"/>
          </rPr>
          <t>，现变更为</t>
        </r>
        <r>
          <rPr>
            <sz val="9"/>
            <color indexed="81"/>
            <rFont val="Tahoma"/>
            <family val="2"/>
          </rPr>
          <t>2014.5.1-2014.8.31</t>
        </r>
        <r>
          <rPr>
            <sz val="9"/>
            <color indexed="81"/>
            <rFont val="宋体"/>
            <family val="3"/>
            <charset val="134"/>
          </rPr>
          <t>，应交学费</t>
        </r>
        <r>
          <rPr>
            <sz val="9"/>
            <color indexed="81"/>
            <rFont val="Tahoma"/>
            <family val="2"/>
          </rPr>
          <t>12920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6460</t>
        </r>
        <r>
          <rPr>
            <sz val="9"/>
            <color indexed="81"/>
            <rFont val="宋体"/>
            <family val="3"/>
            <charset val="134"/>
          </rPr>
          <t>元，作为备用金，未退</t>
        </r>
      </text>
    </comment>
    <comment ref="C139" authorId="2">
      <text>
        <r>
          <rPr>
            <sz val="9"/>
            <color indexed="81"/>
            <rFont val="宋体"/>
            <family val="3"/>
            <charset val="134"/>
          </rPr>
          <t>孙墨涵小朋友交学费期间为2013.9.1-2014.2.28，共计15000元，现将缴费期间调整为2014.4.1-2014.8.31，学费共计12500元，剩余2500元，作为备用金，未退。用于抵扣餐费2000元（2014.4.1-2014.8.31），剩余500元，作为备用金，未退。2014.4.22，备用金已退。</t>
        </r>
      </text>
    </comment>
    <comment ref="C14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韦祖诚小朋友远缴费19380元，变更期限变为2014.4.1-2014.8.31，应交16150元，剩余3230元，用于抵扣一次性费用1200元，杂费600元，剩余1430元，作为备用金，未退。2014.5.8备用金已退</t>
        </r>
      </text>
    </comment>
    <comment ref="C141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慕容青蓝小朋友于2013.12.24交学费19380元（2014.3.1-2014.8.31），现变更期限为2014.4.1-2014.8.31，应交16150元，剩余3230元，作为备用金，2014.3.26备用金已退。</t>
        </r>
      </text>
    </comment>
    <comment ref="C142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马亦君小朋友2014.1.3交学费19380元（2014.3.1-2014.8.31），现变更期限为2014.4.1-2014.8.31 应交学费16150元，剩余3230元，用于抵扣一次性费用1200元，杂费600元（2014.3.1-2014.8.31），剩余1430元，作为备用金，未退。2014.2.17备用金已退。但是当时收了6个月的餐费（2014.3.1-2014.8.31），一个月的餐费400元，作为备用金，未退。现抵扣保险费80元（2014.5-2015.4），剩余320元，作为备用金，未退。</t>
        </r>
      </text>
    </comment>
    <comment ref="C14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杨艾洲小朋友于2014.2.26缴纳学费19380元（2014.3.1-2014.8.31），现变更期限为2014.4.1-2014.8.31，应缴费16150元，剩余3230元，作为备用金，未退。2014.3.28备用金已退。</t>
        </r>
      </text>
    </comment>
    <comment ref="C144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赵子歌小朋友于2014.2.28缴纳学费19380元（2014.3.1-2014.8.31），现变更期限为2014.4.1-2014.8.31，应交学费16150元，剩余3230元，作为备用金，未退.2014.3.28备用金已退。</t>
        </r>
      </text>
    </comment>
    <comment ref="C14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陈卓然小朋友于2014年缴纳学费19380元(2014.9.1-2015.2.28)现变更入园期限(2014.4.1-2014.8.31),应交学费16150元，剩余3230元作为备用金，2014.3.27备用金已退。
2014.3.28陈卓然小朋友已交学费16150元（2014.4.1-2014.8.31），餐费2000元（2014.4.1-2014.8.31）。现变更期限为（2014.5.1-2014.8.31），应交学费12920元，餐费1600元，剩余3630元作为备用金，未退。2014.4.17用于抵扣学费1615元（2014.4.21-2014.4.30），抵扣餐费160元（2014.4.21-2014.4.30），共计1775元，作为备用金1855元，未退。</t>
        </r>
      </text>
    </comment>
    <comment ref="C149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特殊申请</t>
        </r>
      </text>
    </comment>
    <comment ref="C152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天通苑孩子特批，减免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元学费</t>
        </r>
      </text>
    </comment>
    <comment ref="C153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天通苑孩子特批，减免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元学费</t>
        </r>
      </text>
    </comment>
    <comment ref="C155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交</t>
        </r>
        <r>
          <rPr>
            <sz val="9"/>
            <color indexed="81"/>
            <rFont val="Tahoma"/>
            <family val="2"/>
          </rPr>
          <t>3000</t>
        </r>
        <r>
          <rPr>
            <sz val="9"/>
            <color indexed="81"/>
            <rFont val="宋体"/>
            <family val="3"/>
            <charset val="134"/>
          </rPr>
          <t>元定金</t>
        </r>
      </text>
    </comment>
    <comment ref="C156" authorId="3">
      <text>
        <r>
          <rPr>
            <sz val="9"/>
            <color indexed="81"/>
            <rFont val="宋体"/>
            <family val="3"/>
            <charset val="134"/>
          </rPr>
          <t>董晋小朋友于</t>
        </r>
        <r>
          <rPr>
            <sz val="9"/>
            <color indexed="81"/>
            <rFont val="Tahoma"/>
            <family val="2"/>
          </rPr>
          <t>2014.3.11</t>
        </r>
        <r>
          <rPr>
            <sz val="9"/>
            <color indexed="81"/>
            <rFont val="宋体"/>
            <family val="3"/>
            <charset val="134"/>
          </rPr>
          <t>缴纳学费</t>
        </r>
        <r>
          <rPr>
            <sz val="9"/>
            <color indexed="81"/>
            <rFont val="Tahoma"/>
            <family val="2"/>
          </rPr>
          <t>19380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2014.9.1-2015.2.28</t>
        </r>
        <r>
          <rPr>
            <sz val="9"/>
            <color indexed="81"/>
            <rFont val="宋体"/>
            <family val="3"/>
            <charset val="134"/>
          </rPr>
          <t>），现变更期限为</t>
        </r>
        <r>
          <rPr>
            <sz val="9"/>
            <color indexed="81"/>
            <rFont val="Tahoma"/>
            <family val="2"/>
          </rPr>
          <t>2014.5.1-2014.8.31</t>
        </r>
        <r>
          <rPr>
            <sz val="9"/>
            <color indexed="81"/>
            <rFont val="宋体"/>
            <family val="3"/>
            <charset val="134"/>
          </rPr>
          <t>，应缴纳学费</t>
        </r>
        <r>
          <rPr>
            <sz val="9"/>
            <color indexed="81"/>
            <rFont val="Tahoma"/>
            <family val="2"/>
          </rPr>
          <t>12920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6460</t>
        </r>
        <r>
          <rPr>
            <sz val="9"/>
            <color indexed="81"/>
            <rFont val="宋体"/>
            <family val="3"/>
            <charset val="134"/>
          </rPr>
          <t>元，作为备用金。</t>
        </r>
        <r>
          <rPr>
            <sz val="9"/>
            <color indexed="81"/>
            <rFont val="Tahoma"/>
            <family val="2"/>
          </rPr>
          <t>2014.4.16</t>
        </r>
        <r>
          <rPr>
            <sz val="9"/>
            <color indexed="81"/>
            <rFont val="宋体"/>
            <family val="3"/>
            <charset val="134"/>
          </rPr>
          <t>用于抵扣餐费</t>
        </r>
        <r>
          <rPr>
            <sz val="9"/>
            <color indexed="81"/>
            <rFont val="Tahoma"/>
            <family val="2"/>
          </rPr>
          <t>1600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2014.5.1-2014.8.31</t>
        </r>
        <r>
          <rPr>
            <sz val="9"/>
            <color indexed="81"/>
            <rFont val="宋体"/>
            <family val="3"/>
            <charset val="134"/>
          </rPr>
          <t>），杂费</t>
        </r>
        <r>
          <rPr>
            <sz val="9"/>
            <color indexed="81"/>
            <rFont val="Tahoma"/>
            <family val="2"/>
          </rPr>
          <t>600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2014.5.1-2014.8.31</t>
        </r>
        <r>
          <rPr>
            <sz val="9"/>
            <color indexed="81"/>
            <rFont val="宋体"/>
            <family val="3"/>
            <charset val="134"/>
          </rPr>
          <t>），一次性费用</t>
        </r>
        <r>
          <rPr>
            <sz val="9"/>
            <color indexed="81"/>
            <rFont val="Tahoma"/>
            <family val="2"/>
          </rPr>
          <t>1200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3060</t>
        </r>
        <r>
          <rPr>
            <sz val="9"/>
            <color indexed="81"/>
            <rFont val="宋体"/>
            <family val="3"/>
            <charset val="134"/>
          </rPr>
          <t>元作为备用金，未退。</t>
        </r>
      </text>
    </comment>
    <comment ref="C157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陈星宇小朋友原交费19380元，现将缴费期间调整为2014.5.1-2014.8.31，学费共计12920元，剩余6460元，作为备用金，未退。用于抵扣一次性费用1200元，杂费600元（2014.5.1-2014.10.31），餐费1600元（2014.5.1-2014.8.31），班车1600元（2014.5.1-2014.8.31），共计5000元，剩余1460元，作为备用金，未退。注：杂费缴纳至2014.10.31，已特殊审批。</t>
        </r>
      </text>
    </comment>
    <comment ref="C158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已特殊申请</t>
        </r>
      </text>
    </comment>
    <comment ref="C159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天通苑孩子特批，减免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元学费</t>
        </r>
      </text>
    </comment>
    <comment ref="C160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天通苑孩子特批，学费减免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元。</t>
        </r>
      </text>
    </comment>
    <comment ref="C162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原计划</t>
        </r>
        <r>
          <rPr>
            <sz val="9"/>
            <color indexed="81"/>
            <rFont val="Tahoma"/>
            <family val="2"/>
          </rPr>
          <t>2014.9.1-2015.2.28</t>
        </r>
        <r>
          <rPr>
            <sz val="9"/>
            <color indexed="81"/>
            <rFont val="宋体"/>
            <family val="3"/>
            <charset val="134"/>
          </rPr>
          <t>，缴纳学费</t>
        </r>
        <r>
          <rPr>
            <sz val="9"/>
            <color indexed="81"/>
            <rFont val="Tahoma"/>
            <family val="2"/>
          </rPr>
          <t>19380</t>
        </r>
        <r>
          <rPr>
            <sz val="9"/>
            <color indexed="81"/>
            <rFont val="宋体"/>
            <family val="3"/>
            <charset val="134"/>
          </rPr>
          <t>元，现变更为</t>
        </r>
        <r>
          <rPr>
            <sz val="9"/>
            <color indexed="81"/>
            <rFont val="Tahoma"/>
            <family val="2"/>
          </rPr>
          <t>2014.6.1-2014.8.31</t>
        </r>
        <r>
          <rPr>
            <sz val="9"/>
            <color indexed="81"/>
            <rFont val="宋体"/>
            <family val="3"/>
            <charset val="134"/>
          </rPr>
          <t>，应交学费</t>
        </r>
        <r>
          <rPr>
            <sz val="9"/>
            <color indexed="81"/>
            <rFont val="Tahoma"/>
            <family val="2"/>
          </rPr>
          <t>9690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9690</t>
        </r>
        <r>
          <rPr>
            <sz val="9"/>
            <color indexed="81"/>
            <rFont val="宋体"/>
            <family val="3"/>
            <charset val="134"/>
          </rPr>
          <t>元作为备用金。现用于抵扣一次性费用</t>
        </r>
        <r>
          <rPr>
            <sz val="9"/>
            <color indexed="81"/>
            <rFont val="Tahoma"/>
            <family val="2"/>
          </rPr>
          <t>1200</t>
        </r>
        <r>
          <rPr>
            <sz val="9"/>
            <color indexed="81"/>
            <rFont val="宋体"/>
            <family val="3"/>
            <charset val="134"/>
          </rPr>
          <t>元，杂费</t>
        </r>
        <r>
          <rPr>
            <sz val="9"/>
            <color indexed="81"/>
            <rFont val="Tahoma"/>
            <family val="2"/>
          </rPr>
          <t>600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2014.6.1-2014.8.31</t>
        </r>
        <r>
          <rPr>
            <sz val="9"/>
            <color indexed="81"/>
            <rFont val="宋体"/>
            <family val="3"/>
            <charset val="134"/>
          </rPr>
          <t>），餐费</t>
        </r>
        <r>
          <rPr>
            <sz val="9"/>
            <color indexed="81"/>
            <rFont val="Tahoma"/>
            <family val="2"/>
          </rPr>
          <t>1200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2014.6.1-2014.8.31</t>
        </r>
        <r>
          <rPr>
            <sz val="9"/>
            <color indexed="81"/>
            <rFont val="宋体"/>
            <family val="3"/>
            <charset val="134"/>
          </rPr>
          <t>），剩余</t>
        </r>
        <r>
          <rPr>
            <sz val="9"/>
            <color indexed="81"/>
            <rFont val="Tahoma"/>
            <family val="2"/>
          </rPr>
          <t>6690</t>
        </r>
        <r>
          <rPr>
            <sz val="9"/>
            <color indexed="81"/>
            <rFont val="宋体"/>
            <family val="3"/>
            <charset val="134"/>
          </rPr>
          <t>元，作为备用金，未退。</t>
        </r>
      </text>
    </comment>
    <comment ref="C16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谢晓言于2014.1.10缴纳学费27000元（2014.3.1-2014.8.31），现变更期限为2014.5.1-2014.8.31，应交学费18000元，剩余9000元，作为备用金，未退。现变更期限为2014.6.1-2014.8.31，应交学费13500元，剩余13500元，作为备用金，未退。</t>
        </r>
      </text>
    </comment>
    <comment ref="C176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孙毅鸣小朋友于2014.2.28缴纳学费27000元（2014.3.1-2014.8.31），现变更期限为2014.5.1-2014.8.31，应交学费18000元，剩余9000元，作为备用金，未退。现变更期限为2014.9.1-2015.2.28，应交学费27000元，无剩余备用金</t>
        </r>
      </text>
    </comment>
    <comment ref="C181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宋体"/>
            <family val="3"/>
            <charset val="134"/>
          </rPr>
          <t>现变更期限为</t>
        </r>
        <r>
          <rPr>
            <sz val="9"/>
            <color indexed="81"/>
            <rFont val="Tahoma"/>
            <family val="2"/>
          </rPr>
          <t>2014.9.1-2014.12.31</t>
        </r>
        <r>
          <rPr>
            <sz val="9"/>
            <color indexed="81"/>
            <rFont val="宋体"/>
            <family val="3"/>
            <charset val="134"/>
          </rPr>
          <t>，</t>
        </r>
      </text>
    </comment>
    <comment ref="C183" authorId="3">
      <text>
        <r>
          <rPr>
            <sz val="9"/>
            <color indexed="81"/>
            <rFont val="宋体"/>
            <family val="3"/>
            <charset val="134"/>
          </rPr>
          <t>原计划缴费期间为</t>
        </r>
        <r>
          <rPr>
            <sz val="9"/>
            <color indexed="81"/>
            <rFont val="Tahoma"/>
            <family val="2"/>
          </rPr>
          <t>2015.3.1-2015.8.31</t>
        </r>
        <r>
          <rPr>
            <sz val="9"/>
            <color indexed="81"/>
            <rFont val="宋体"/>
            <family val="3"/>
            <charset val="134"/>
          </rPr>
          <t>，现变更为</t>
        </r>
        <r>
          <rPr>
            <sz val="9"/>
            <color indexed="81"/>
            <rFont val="Tahoma"/>
            <family val="2"/>
          </rPr>
          <t>2014.9.1-2015.2.28</t>
        </r>
        <r>
          <rPr>
            <sz val="9"/>
            <color indexed="81"/>
            <rFont val="宋体"/>
            <family val="3"/>
            <charset val="134"/>
          </rPr>
          <t>，费用不变。</t>
        </r>
      </text>
    </comment>
    <comment ref="C184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宋莉宏小朋友于2014.3.4缴纳学费19380元（2014.3.1-2014.8.31），现变更期限为2014.4.1-2014.8.31，应缴费用16150元，剩余3230元，作为备用金，未退。现变更缴费期限为2014.7.1-2014.8.31日，应缴费6460元，剩余12920元，作为备用金，未退。</t>
        </r>
      </text>
    </comment>
    <comment ref="C189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天通苑孩子学费优惠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元。</t>
        </r>
      </text>
    </comment>
    <comment ref="C199" authorId="3">
      <text>
        <r>
          <rPr>
            <b/>
            <sz val="9"/>
            <color indexed="81"/>
            <rFont val="宋体"/>
            <family val="3"/>
            <charset val="134"/>
          </rPr>
          <t>雨林木风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原缴学费</t>
        </r>
        <r>
          <rPr>
            <sz val="9"/>
            <color indexed="81"/>
            <rFont val="Tahoma"/>
            <family val="2"/>
          </rPr>
          <t>9690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2014.6.1-2014.8.31</t>
        </r>
        <r>
          <rPr>
            <sz val="9"/>
            <color indexed="81"/>
            <rFont val="宋体"/>
            <family val="3"/>
            <charset val="134"/>
          </rPr>
          <t>），餐费</t>
        </r>
        <r>
          <rPr>
            <sz val="9"/>
            <color indexed="81"/>
            <rFont val="Tahoma"/>
            <family val="2"/>
          </rPr>
          <t>1200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2014.6.1-2014.8.31</t>
        </r>
        <r>
          <rPr>
            <sz val="9"/>
            <color indexed="81"/>
            <rFont val="宋体"/>
            <family val="3"/>
            <charset val="134"/>
          </rPr>
          <t>），杂费</t>
        </r>
        <r>
          <rPr>
            <sz val="9"/>
            <color indexed="81"/>
            <rFont val="Tahoma"/>
            <family val="2"/>
          </rPr>
          <t>600</t>
        </r>
        <r>
          <rPr>
            <sz val="9"/>
            <color indexed="81"/>
            <rFont val="宋体"/>
            <family val="3"/>
            <charset val="134"/>
          </rPr>
          <t>元（</t>
        </r>
        <r>
          <rPr>
            <sz val="9"/>
            <color indexed="81"/>
            <rFont val="Tahoma"/>
            <family val="2"/>
          </rPr>
          <t>2014.6.1-2014.8.31</t>
        </r>
        <r>
          <rPr>
            <sz val="9"/>
            <color indexed="81"/>
            <rFont val="宋体"/>
            <family val="3"/>
            <charset val="134"/>
          </rPr>
          <t>），现变更至</t>
        </r>
        <r>
          <rPr>
            <sz val="9"/>
            <color indexed="81"/>
            <rFont val="Tahoma"/>
            <family val="2"/>
          </rPr>
          <t>2014.7.1-2014.8.31</t>
        </r>
        <r>
          <rPr>
            <sz val="9"/>
            <color indexed="81"/>
            <rFont val="宋体"/>
            <family val="3"/>
            <charset val="134"/>
          </rPr>
          <t>，应交学费</t>
        </r>
        <r>
          <rPr>
            <sz val="9"/>
            <color indexed="81"/>
            <rFont val="Tahoma"/>
            <family val="2"/>
          </rPr>
          <t>6460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800</t>
        </r>
        <r>
          <rPr>
            <sz val="9"/>
            <color indexed="81"/>
            <rFont val="宋体"/>
            <family val="3"/>
            <charset val="134"/>
          </rPr>
          <t>元，杂费</t>
        </r>
        <r>
          <rPr>
            <sz val="9"/>
            <color indexed="81"/>
            <rFont val="Tahoma"/>
            <family val="2"/>
          </rPr>
          <t>480</t>
        </r>
        <r>
          <rPr>
            <sz val="9"/>
            <color indexed="81"/>
            <rFont val="宋体"/>
            <family val="3"/>
            <charset val="134"/>
          </rPr>
          <t>元，剩余</t>
        </r>
        <r>
          <rPr>
            <sz val="9"/>
            <color indexed="81"/>
            <rFont val="Tahoma"/>
            <family val="2"/>
          </rPr>
          <t>3750</t>
        </r>
        <r>
          <rPr>
            <sz val="9"/>
            <color indexed="81"/>
            <rFont val="宋体"/>
            <family val="3"/>
            <charset val="134"/>
          </rPr>
          <t>元，作为备用金，未退。</t>
        </r>
      </text>
    </comment>
    <comment ref="C202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缴纳2011年9月5日-2012年8月31日学费3150元*12月=37800元，餐费2011年9月5日-2012年2月28日（660元*6个月）-3天餐费90元=3870元，总计缴纳费用41670元，由于12年2月份费用下调由3150元下调到2000元，差额1150*7=8050元，餐费由660元下调到360元差额300元，1个月零5天学费3776元，餐费810元，杂费1500元，应退费14436元，扣除2012年3月1日-2012年8月31日餐费360*6=2160元，实际退费12276元</t>
        </r>
      </text>
    </comment>
    <comment ref="C203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其中2012年1月份请假1个月，故按照3150*15%计算，该生缴纳2011年9月5日-2012年8月31日学费35122.5元，餐费2011年9月5-2012年2月28日餐费3960元，2011年12月1日-2012年2月份校车费900元，共计缴纳费用39982.5元，由于12年2月份费用下调学费由3150元下调到2000元，差额1150*7=8050元，餐费由660元下调到360元，差额300*1=300元，1月份请假全额退费3150*15%=473元，餐费660元，8月份请假退费2000元，杂费1500元，退12年2月份校车费300元，应退费13283元，扣除餐费2012年3月1-2012年7月31日餐费360*5=1800元，由于出纳计算有误，多退472元，实际退费11955元，</t>
        </r>
      </text>
    </comment>
    <comment ref="C204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缴纳2011年9月5日-2012年8月31日学费37800元，餐费7920元，2011年12月-2012年2月份校车费900元，共计缴纳46620元，由于12年2月份费用下调，学费由3150元下调到2000元，差额1150*7=8050元，餐费由660元下调到360元，差额300元*7=2100元，1、7、8请假应退学费7150元，餐费11月份请假5天、2月份请假3天，加1、7、8餐费，应退1579元，杂费1500元，校车费300元，实际退费总计20379元    </t>
        </r>
      </text>
    </comment>
    <comment ref="BW204" authorId="2">
      <text>
        <r>
          <rPr>
            <sz val="9"/>
            <color indexed="81"/>
            <rFont val="宋体"/>
            <family val="3"/>
            <charset val="134"/>
          </rPr>
          <t xml:space="preserve">2012.10.11所退款162元已领取
</t>
        </r>
      </text>
    </comment>
    <comment ref="C205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缴纳2011年9月5日-2012年8月31日学费37800元，餐费7920元，2011年12月-2012年2月份校车费900元，共计缴纳46620元，由于12年2月份费用下调，学费由3150元下调到2000元，差额1150*7=8050元，餐费由660元下调到360元，差额300*7=2100元，1、7、8月份请假应退学费7150元，餐费12月1天，1、7、8整月，2月份1天，应退餐费1426元，杂费1500元，校车费300元，共计应退金额20526元，已退完</t>
        </r>
      </text>
    </comment>
    <comment ref="BW205" authorId="2">
      <text>
        <r>
          <rPr>
            <sz val="9"/>
            <color indexed="81"/>
            <rFont val="宋体"/>
            <family val="3"/>
            <charset val="134"/>
          </rPr>
          <t xml:space="preserve">2012.10.11所退款162元已领取
</t>
        </r>
      </text>
    </comment>
    <comment ref="C206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缴纳2011年12月-2012年8月学费28350元，餐费1980元，补杂费100元，共计缴纳：30430元，由于2月份费用下调，学费由3150元下调到2000元，差额1150*7=8050元，餐费由660元下调到360元，差额300元，1月份请假半个月，8月请假整月，应退学费3575元，餐费690，杂费1500元，应，扣除12年3月份-8月份餐费2160元，应退费11955元，由于出纳计算有误，实退12075元，多退120元，已退完</t>
        </r>
      </text>
    </comment>
    <comment ref="C207" authorId="1">
      <text>
        <r>
          <rPr>
            <sz val="9"/>
            <color indexed="81"/>
            <rFont val="Tahoma"/>
            <family val="2"/>
          </rPr>
          <t>2012.8.16</t>
        </r>
        <r>
          <rPr>
            <sz val="9"/>
            <color indexed="81"/>
            <rFont val="宋体"/>
            <family val="3"/>
            <charset val="134"/>
          </rPr>
          <t>，扣除</t>
        </r>
        <r>
          <rPr>
            <sz val="9"/>
            <color indexed="81"/>
            <rFont val="Tahoma"/>
            <family val="2"/>
          </rPr>
          <t>15%</t>
        </r>
        <r>
          <rPr>
            <sz val="9"/>
            <color indexed="81"/>
            <rFont val="宋体"/>
            <family val="3"/>
            <charset val="134"/>
          </rPr>
          <t>占位费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元，实退现金</t>
        </r>
        <r>
          <rPr>
            <sz val="9"/>
            <color indexed="81"/>
            <rFont val="Tahoma"/>
            <family val="2"/>
          </rPr>
          <t>11700</t>
        </r>
        <r>
          <rPr>
            <sz val="9"/>
            <color indexed="81"/>
            <rFont val="宋体"/>
            <family val="3"/>
            <charset val="134"/>
          </rPr>
          <t>元整，已退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3" authorId="1">
      <text>
        <r>
          <rPr>
            <b/>
            <sz val="9"/>
            <color indexed="81"/>
            <rFont val="宋体"/>
            <family val="3"/>
            <charset val="134"/>
          </rPr>
          <t>退学费</t>
        </r>
        <r>
          <rPr>
            <b/>
            <sz val="9"/>
            <color indexed="81"/>
            <rFont val="Tahoma"/>
            <family val="2"/>
          </rPr>
          <t>35640</t>
        </r>
        <r>
          <rPr>
            <b/>
            <sz val="9"/>
            <color indexed="81"/>
            <rFont val="宋体"/>
            <family val="3"/>
            <charset val="134"/>
          </rPr>
          <t>（</t>
        </r>
        <r>
          <rPr>
            <b/>
            <sz val="9"/>
            <color indexed="81"/>
            <rFont val="Tahoma"/>
            <family val="2"/>
          </rPr>
          <t>36000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  <comment ref="F213" authorId="1">
      <text>
        <r>
          <rPr>
            <b/>
            <sz val="9"/>
            <color indexed="81"/>
            <rFont val="Tahoma"/>
            <family val="2"/>
          </rPr>
          <t>2012.6.27</t>
        </r>
        <r>
          <rPr>
            <b/>
            <sz val="9"/>
            <color indexed="81"/>
            <rFont val="宋体"/>
            <family val="3"/>
            <charset val="134"/>
          </rPr>
          <t>退</t>
        </r>
      </text>
    </comment>
    <comment ref="D214" authorId="1">
      <text/>
    </comment>
    <comment ref="D215" authorId="1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D220" authorId="1">
      <text>
        <r>
          <rPr>
            <b/>
            <sz val="9"/>
            <color indexed="81"/>
            <rFont val="宋体"/>
            <family val="3"/>
            <charset val="134"/>
          </rPr>
          <t>退学费</t>
        </r>
        <r>
          <rPr>
            <b/>
            <sz val="9"/>
            <color indexed="81"/>
            <rFont val="Tahoma"/>
            <family val="2"/>
          </rPr>
          <t>8712</t>
        </r>
        <r>
          <rPr>
            <b/>
            <sz val="9"/>
            <color indexed="81"/>
            <rFont val="宋体"/>
            <family val="3"/>
            <charset val="134"/>
          </rPr>
          <t>（</t>
        </r>
        <r>
          <rPr>
            <b/>
            <sz val="9"/>
            <color indexed="81"/>
            <rFont val="Tahoma"/>
            <family val="2"/>
          </rPr>
          <t>8800</t>
        </r>
        <r>
          <rPr>
            <b/>
            <sz val="9"/>
            <color indexed="81"/>
            <rFont val="宋体"/>
            <family val="3"/>
            <charset val="134"/>
          </rPr>
          <t>）</t>
        </r>
      </text>
    </comment>
    <comment ref="F220" authorId="1">
      <text>
        <r>
          <rPr>
            <sz val="9"/>
            <color indexed="81"/>
            <rFont val="Tahoma"/>
            <family val="2"/>
          </rPr>
          <t>2012.6.27</t>
        </r>
        <r>
          <rPr>
            <sz val="9"/>
            <color indexed="81"/>
            <rFont val="宋体"/>
            <family val="3"/>
            <charset val="134"/>
          </rPr>
          <t>退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3" authorId="1">
      <text>
        <r>
          <rPr>
            <sz val="9"/>
            <color indexed="81"/>
            <rFont val="Tahoma"/>
            <family val="2"/>
          </rPr>
          <t>2012.8.6</t>
        </r>
        <r>
          <rPr>
            <sz val="9"/>
            <color indexed="81"/>
            <rFont val="宋体"/>
            <family val="3"/>
            <charset val="134"/>
          </rPr>
          <t>交班车费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24" authorId="1">
      <text>
        <r>
          <rPr>
            <sz val="9"/>
            <color indexed="81"/>
            <rFont val="Tahoma"/>
            <family val="2"/>
          </rPr>
          <t>2012.8.27</t>
        </r>
        <r>
          <rPr>
            <sz val="9"/>
            <color indexed="81"/>
            <rFont val="宋体"/>
            <family val="3"/>
            <charset val="134"/>
          </rPr>
          <t>缴纳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12000</t>
        </r>
        <r>
          <rPr>
            <sz val="9"/>
            <color indexed="81"/>
            <rFont val="宋体"/>
            <family val="3"/>
            <charset val="134"/>
          </rPr>
          <t>，餐费</t>
        </r>
        <r>
          <rPr>
            <sz val="9"/>
            <color indexed="81"/>
            <rFont val="Tahoma"/>
            <family val="2"/>
          </rPr>
          <t>2400</t>
        </r>
        <r>
          <rPr>
            <sz val="9"/>
            <color indexed="81"/>
            <rFont val="宋体"/>
            <family val="3"/>
            <charset val="134"/>
          </rPr>
          <t>，一次性用品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，杂费</t>
        </r>
        <r>
          <rPr>
            <sz val="9"/>
            <color indexed="81"/>
            <rFont val="Tahoma"/>
            <family val="2"/>
          </rPr>
          <t xml:space="preserve">300
</t>
        </r>
      </text>
    </comment>
    <comment ref="D226" authorId="2">
      <text>
        <r>
          <rPr>
            <sz val="9"/>
            <color indexed="81"/>
            <rFont val="宋体"/>
            <family val="3"/>
            <charset val="134"/>
          </rPr>
          <t xml:space="preserve">2012.10.10所退款1500元，已领取
</t>
        </r>
      </text>
    </comment>
    <comment ref="D227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2012.9.21所退款1500元已领取</t>
        </r>
      </text>
    </comment>
    <comment ref="D229" authorId="2">
      <text>
        <r>
          <rPr>
            <b/>
            <sz val="9"/>
            <color indexed="81"/>
            <rFont val="宋体"/>
            <family val="3"/>
            <charset val="134"/>
          </rPr>
          <t>2012.10.10所退款3000元，已领取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230" authorId="2">
      <text>
        <r>
          <rPr>
            <b/>
            <sz val="9"/>
            <color indexed="81"/>
            <rFont val="宋体"/>
            <family val="3"/>
            <charset val="134"/>
          </rPr>
          <t>2012.10.10所退款3000元，已领取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231" authorId="2">
      <text>
        <r>
          <rPr>
            <sz val="9"/>
            <color indexed="81"/>
            <rFont val="宋体"/>
            <family val="3"/>
            <charset val="134"/>
          </rPr>
          <t>2012.10.12所退款3000元，扣除手续费还剩2970元，已领取</t>
        </r>
      </text>
    </comment>
    <comment ref="D232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3" authorId="1">
      <text>
        <r>
          <rPr>
            <b/>
            <sz val="9"/>
            <color indexed="81"/>
            <rFont val="宋体"/>
            <family val="3"/>
            <charset val="134"/>
          </rPr>
          <t>报名费2012.12.3已领取</t>
        </r>
      </text>
    </comment>
    <comment ref="D234" authorId="2">
      <text>
        <r>
          <rPr>
            <sz val="9"/>
            <color indexed="81"/>
            <rFont val="宋体"/>
            <family val="3"/>
            <charset val="134"/>
          </rPr>
          <t xml:space="preserve">2012.10.10所退款3000元，扣除手续费还剩2970元，已领取
</t>
        </r>
      </text>
    </comment>
    <comment ref="D235" authorId="2">
      <text>
        <r>
          <rPr>
            <sz val="9"/>
            <color indexed="81"/>
            <rFont val="宋体"/>
            <family val="3"/>
            <charset val="134"/>
          </rPr>
          <t>2012.10.12所退款3000元，扣除手续费还剩2970元，已领取</t>
        </r>
      </text>
    </comment>
    <comment ref="D236" authorId="2">
      <text>
        <r>
          <rPr>
            <b/>
            <sz val="9"/>
            <color indexed="81"/>
            <rFont val="宋体"/>
            <family val="3"/>
            <charset val="134"/>
          </rPr>
          <t>2012.8.18所退款3000元已领取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238" authorId="2">
      <text>
        <r>
          <rPr>
            <b/>
            <sz val="9"/>
            <color indexed="81"/>
            <rFont val="宋体"/>
            <family val="3"/>
            <charset val="134"/>
          </rPr>
          <t>2012.8.16所退款1000元，扣除手续费9元，剩余991元，已领取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239" authorId="1">
      <text>
        <r>
          <rPr>
            <b/>
            <sz val="9"/>
            <color indexed="81"/>
            <rFont val="宋体"/>
            <family val="3"/>
            <charset val="134"/>
          </rPr>
          <t>2012.9.21所退款扣除手续费9元剩余991元，已领取</t>
        </r>
      </text>
    </comment>
    <comment ref="D24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现金退报名费991（1000）
</t>
        </r>
      </text>
    </comment>
    <comment ref="F240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2012.6.27</t>
        </r>
        <r>
          <rPr>
            <sz val="9"/>
            <color indexed="81"/>
            <rFont val="宋体"/>
            <family val="3"/>
            <charset val="134"/>
          </rPr>
          <t>退</t>
        </r>
      </text>
    </comment>
    <comment ref="D241" authorId="2">
      <text>
        <r>
          <rPr>
            <sz val="9"/>
            <color indexed="81"/>
            <rFont val="宋体"/>
            <family val="3"/>
            <charset val="134"/>
          </rPr>
          <t xml:space="preserve">
2012.10.10所退款28646元已领取</t>
        </r>
      </text>
    </comment>
    <comment ref="G241" authorId="1">
      <text>
        <r>
          <rPr>
            <sz val="9"/>
            <color indexed="81"/>
            <rFont val="宋体"/>
            <family val="3"/>
            <charset val="134"/>
          </rPr>
          <t>含</t>
        </r>
        <r>
          <rPr>
            <sz val="9"/>
            <color indexed="81"/>
            <rFont val="Tahoma"/>
            <family val="2"/>
          </rPr>
          <t>2012.7.28</t>
        </r>
        <r>
          <rPr>
            <sz val="9"/>
            <color indexed="81"/>
            <rFont val="宋体"/>
            <family val="3"/>
            <charset val="134"/>
          </rPr>
          <t>报名费</t>
        </r>
        <r>
          <rPr>
            <sz val="9"/>
            <color indexed="81"/>
            <rFont val="Tahoma"/>
            <family val="2"/>
          </rPr>
          <t xml:space="preserve">1000
</t>
        </r>
        <r>
          <rPr>
            <sz val="9"/>
            <color indexed="81"/>
            <rFont val="宋体"/>
            <family val="3"/>
            <charset val="134"/>
          </rPr>
          <t>马丽亲属打九五折</t>
        </r>
      </text>
    </comment>
    <comment ref="D242" authorId="1">
      <text>
        <r>
          <rPr>
            <b/>
            <sz val="9"/>
            <color indexed="81"/>
            <rFont val="宋体"/>
            <family val="3"/>
            <charset val="134"/>
          </rPr>
          <t>报名费1000元2012.9.21已领取</t>
        </r>
      </text>
    </comment>
    <comment ref="D243" authorId="2">
      <text>
        <r>
          <rPr>
            <b/>
            <sz val="9"/>
            <color indexed="81"/>
            <rFont val="宋体"/>
            <family val="3"/>
            <charset val="134"/>
          </rPr>
          <t>2012.10.10所退款1000元，扣除手续费9元，剩余991元，已领取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250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缴纳2011年11月1日-2012年10月31日学费37800元，餐费11年11月-12年1月1980元，校车费2011年12月-12年2月900元，共计缴纳费用40680元，由于2月份费用下调，学费3150元下调2000元，差额1150*7=8050元，1月份整月请假，2月份事假2天，应退学费3150元，餐费693元，校车费300元，杂费1500元，9、10月份学费6300元，应退金额19993元，扣除12年2月-8月餐费2520元，校车费1800元，实付金额15673元，已退完
2012.9.3缴纳2012.9.1-2012.9.30餐费400元、一次性用品1000元、杂费300元校车费1200元，共计2900元</t>
        </r>
      </text>
    </comment>
    <comment ref="C251" authorId="1">
      <text>
        <r>
          <rPr>
            <sz val="9"/>
            <color indexed="81"/>
            <rFont val="Tahoma"/>
            <family val="2"/>
          </rPr>
          <t>2012.8.27</t>
        </r>
        <r>
          <rPr>
            <sz val="9"/>
            <color indexed="81"/>
            <rFont val="宋体"/>
            <family val="3"/>
            <charset val="134"/>
          </rPr>
          <t>应收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3000*6=18000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2400</t>
        </r>
        <r>
          <rPr>
            <sz val="9"/>
            <color indexed="81"/>
            <rFont val="宋体"/>
            <family val="3"/>
            <charset val="134"/>
          </rPr>
          <t>元、一次性用品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元、杂费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元，应收合计</t>
        </r>
        <r>
          <rPr>
            <sz val="9"/>
            <color indexed="81"/>
            <rFont val="Tahoma"/>
            <family val="2"/>
          </rPr>
          <t>21700</t>
        </r>
        <r>
          <rPr>
            <sz val="9"/>
            <color indexed="81"/>
            <rFont val="宋体"/>
            <family val="3"/>
            <charset val="134"/>
          </rPr>
          <t>元。应退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18000</t>
        </r>
        <r>
          <rPr>
            <sz val="9"/>
            <color indexed="81"/>
            <rFont val="宋体"/>
            <family val="3"/>
            <charset val="134"/>
          </rPr>
          <t>元、餐费</t>
        </r>
        <r>
          <rPr>
            <sz val="9"/>
            <color indexed="81"/>
            <rFont val="Tahoma"/>
            <family val="2"/>
          </rPr>
          <t>2160</t>
        </r>
        <r>
          <rPr>
            <sz val="9"/>
            <color indexed="81"/>
            <rFont val="宋体"/>
            <family val="3"/>
            <charset val="134"/>
          </rPr>
          <t>元，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月蒙氏班手足口学费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元，由于缺勤，</t>
        </r>
        <r>
          <rPr>
            <sz val="9"/>
            <color indexed="81"/>
            <rFont val="Tahoma"/>
            <family val="2"/>
          </rPr>
          <t>5</t>
        </r>
        <r>
          <rPr>
            <sz val="9"/>
            <color indexed="81"/>
            <rFont val="宋体"/>
            <family val="3"/>
            <charset val="134"/>
          </rPr>
          <t>月份应退餐费</t>
        </r>
        <r>
          <rPr>
            <sz val="9"/>
            <color indexed="81"/>
            <rFont val="Tahoma"/>
            <family val="2"/>
          </rPr>
          <t>45</t>
        </r>
        <r>
          <rPr>
            <sz val="9"/>
            <color indexed="81"/>
            <rFont val="宋体"/>
            <family val="3"/>
            <charset val="134"/>
          </rPr>
          <t>元、六月</t>
        </r>
        <r>
          <rPr>
            <sz val="9"/>
            <color indexed="81"/>
            <rFont val="Tahoma"/>
            <family val="2"/>
          </rPr>
          <t>180</t>
        </r>
        <r>
          <rPr>
            <sz val="9"/>
            <color indexed="81"/>
            <rFont val="宋体"/>
            <family val="3"/>
            <charset val="134"/>
          </rPr>
          <t>元、应退合计</t>
        </r>
        <r>
          <rPr>
            <sz val="9"/>
            <color indexed="81"/>
            <rFont val="Tahoma"/>
            <family val="2"/>
          </rPr>
          <t>21885</t>
        </r>
        <r>
          <rPr>
            <sz val="9"/>
            <color indexed="81"/>
            <rFont val="宋体"/>
            <family val="3"/>
            <charset val="134"/>
          </rPr>
          <t>元，实际应退</t>
        </r>
        <r>
          <rPr>
            <sz val="9"/>
            <color indexed="81"/>
            <rFont val="Tahoma"/>
            <family val="2"/>
          </rPr>
          <t>185</t>
        </r>
        <r>
          <rPr>
            <sz val="9"/>
            <color indexed="81"/>
            <rFont val="宋体"/>
            <family val="3"/>
            <charset val="134"/>
          </rPr>
          <t>元整。备用金</t>
        </r>
        <r>
          <rPr>
            <sz val="9"/>
            <color indexed="81"/>
            <rFont val="Tahoma"/>
            <family val="2"/>
          </rPr>
          <t>185</t>
        </r>
        <r>
          <rPr>
            <sz val="9"/>
            <color indexed="81"/>
            <rFont val="宋体"/>
            <family val="3"/>
            <charset val="134"/>
          </rPr>
          <t>元已退。</t>
        </r>
      </text>
    </comment>
    <comment ref="C252" authorId="2">
      <text>
        <r>
          <rPr>
            <sz val="9"/>
            <color indexed="81"/>
            <rFont val="宋体"/>
            <family val="3"/>
            <charset val="134"/>
          </rPr>
          <t xml:space="preserve">9月应退学费1750，餐费180，共计1930元。抵12月1月2月餐费，剩余730元作为备用金,2013.3.25日备用金已退。
</t>
        </r>
      </text>
    </comment>
    <comment ref="C256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根据王天浩小朋友2月份出勤情况，退学费2000元，餐费400元，共计2400元用于抵扣杂费300元（2013.3.1-2013.8.31)以及餐费（2013.3.1-2013.7.31），剩余100元，作为备用金，备用金已退。</t>
        </r>
      </text>
    </comment>
    <comment ref="D257" authorId="1">
      <text>
        <r>
          <rPr>
            <sz val="9"/>
            <color indexed="81"/>
            <rFont val="宋体"/>
            <family val="3"/>
            <charset val="134"/>
          </rPr>
          <t>报名费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5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根据刘蕊安小朋友2月份出勤情况，退学费2000元，餐费400元，共计2400元用于抵扣杂费300元（2013.3.1-2013.8.31)以及餐费（2013.3.1-2013.7.31），剩余100元，作为备用金，备用金已退。</t>
        </r>
      </text>
    </comment>
    <comment ref="E259" authorId="1">
      <text>
        <r>
          <rPr>
            <b/>
            <sz val="9"/>
            <color indexed="81"/>
            <rFont val="Tahoma"/>
            <family val="2"/>
          </rPr>
          <t>2012.6.30</t>
        </r>
        <r>
          <rPr>
            <b/>
            <sz val="9"/>
            <color indexed="81"/>
            <rFont val="宋体"/>
            <family val="3"/>
            <charset val="134"/>
          </rPr>
          <t>交报名费</t>
        </r>
        <r>
          <rPr>
            <b/>
            <sz val="9"/>
            <color indexed="81"/>
            <rFont val="Tahoma"/>
            <family val="2"/>
          </rPr>
          <t>2012.7.4</t>
        </r>
        <r>
          <rPr>
            <b/>
            <sz val="9"/>
            <color indexed="81"/>
            <rFont val="宋体"/>
            <family val="3"/>
            <charset val="134"/>
          </rPr>
          <t>交纳学费、一次性物品费、杂费，</t>
        </r>
        <r>
          <rPr>
            <b/>
            <sz val="9"/>
            <color indexed="81"/>
            <rFont val="Tahoma"/>
            <family val="2"/>
          </rPr>
          <t>1000</t>
        </r>
        <r>
          <rPr>
            <b/>
            <sz val="9"/>
            <color indexed="81"/>
            <rFont val="宋体"/>
            <family val="3"/>
            <charset val="134"/>
          </rPr>
          <t>报名费冲学费</t>
        </r>
        <r>
          <rPr>
            <b/>
            <sz val="9"/>
            <color indexed="81"/>
            <rFont val="Tahoma"/>
            <family val="2"/>
          </rPr>
          <t>2012.7.21</t>
        </r>
        <r>
          <rPr>
            <b/>
            <sz val="9"/>
            <color indexed="81"/>
            <rFont val="宋体"/>
            <family val="3"/>
            <charset val="134"/>
          </rPr>
          <t>交餐费、班车费</t>
        </r>
        <r>
          <rPr>
            <b/>
            <sz val="9"/>
            <color indexed="81"/>
            <rFont val="Tahoma"/>
            <family val="2"/>
          </rPr>
          <t>2012.8.24</t>
        </r>
        <r>
          <rPr>
            <b/>
            <sz val="9"/>
            <color indexed="81"/>
            <rFont val="宋体"/>
            <family val="3"/>
            <charset val="134"/>
          </rPr>
          <t>交</t>
        </r>
        <r>
          <rPr>
            <b/>
            <sz val="9"/>
            <color indexed="81"/>
            <rFont val="Tahoma"/>
            <family val="2"/>
          </rPr>
          <t>9</t>
        </r>
        <r>
          <rPr>
            <b/>
            <sz val="9"/>
            <color indexed="81"/>
            <rFont val="宋体"/>
            <family val="3"/>
            <charset val="134"/>
          </rPr>
          <t>月份餐费</t>
        </r>
        <r>
          <rPr>
            <b/>
            <sz val="9"/>
            <color indexed="81"/>
            <rFont val="Tahoma"/>
            <family val="2"/>
          </rPr>
          <t>400</t>
        </r>
      </text>
    </comment>
    <comment ref="B26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B261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B262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C262" authorId="2">
      <text>
        <r>
          <rPr>
            <b/>
            <sz val="9"/>
            <color indexed="10"/>
            <rFont val="宋体"/>
            <family val="3"/>
            <charset val="134"/>
          </rPr>
          <t>坐校车时餐费300元/月</t>
        </r>
        <r>
          <rPr>
            <sz val="9"/>
            <color indexed="81"/>
            <rFont val="宋体"/>
            <family val="3"/>
            <charset val="134"/>
          </rPr>
          <t xml:space="preserve">
根据2013.5、6、7月的出勤情况，退学费1750元，餐费240元，共计1990元，用于抵扣餐费2013.7.1-2013.8.31，剩余1190元，作为备用金，2013.9.22备用金已退。</t>
        </r>
      </text>
    </comment>
    <comment ref="B26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C263" authorId="2">
      <text>
        <r>
          <rPr>
            <sz val="9"/>
            <color indexed="81"/>
            <rFont val="宋体"/>
            <family val="3"/>
            <charset val="134"/>
          </rPr>
          <t>根据陈美旗小朋友1、2月的考勤情况，退学费2000元，餐费135元，共计2135元，用于抵扣2013.3.1-2013.6.31餐费以及杂费2013.3.1-2013.8.31，剩余235元，作为备用金，未退。2013.8.28备用金已退。</t>
        </r>
      </text>
    </comment>
    <comment ref="B264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B265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C265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根据12月份的考勤，应退学费1125元，餐费195元，共计1320元，用于抵扣2013.2月份的餐费，剩余920元，作为备用金，2013.3.7已退。
根据杜雨函小朋友10、1、2月份的出勤情况，应退学费3500元，餐费860元，校车费400元，备用金920元，合计5680元，用于抵扣2013.3.1-2013.8.31餐费以及杂费300元（2013.3.1-2013.8.31），校车费400*6（2013.3.1-2013.8.31），剩余580元，作为备用金，2013.9.22备用金已退。</t>
        </r>
      </text>
    </comment>
    <comment ref="D265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一次性物品费,
</t>
        </r>
      </text>
    </comment>
    <comment ref="E265" authorId="1">
      <text>
        <r>
          <rPr>
            <b/>
            <sz val="9"/>
            <color indexed="81"/>
            <rFont val="宋体"/>
            <family val="3"/>
            <charset val="134"/>
          </rPr>
          <t>后交杂费、餐费、班车费</t>
        </r>
      </text>
    </comment>
    <comment ref="B266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B267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B26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C26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根据熊梓超小朋友2013.2月份的出勤情况，退学费2000元，校车费200元合计2200元，用于抵扣餐费（2013.4.1-2013.6.30）以及校车费（2013.3.1-2013.4.30),剩余200元，作为备用金，2013.5.6日已退。</t>
        </r>
      </text>
    </comment>
    <comment ref="B269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B270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C270" authorId="1">
      <text>
        <r>
          <rPr>
            <sz val="9"/>
            <color indexed="81"/>
            <rFont val="Tahoma"/>
            <family val="2"/>
          </rPr>
          <t>2012.8.30</t>
        </r>
        <r>
          <rPr>
            <sz val="9"/>
            <color indexed="81"/>
            <rFont val="宋体"/>
            <family val="3"/>
            <charset val="134"/>
          </rPr>
          <t>办理入学手续，应收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12000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2400</t>
        </r>
        <r>
          <rPr>
            <sz val="9"/>
            <color indexed="81"/>
            <rFont val="宋体"/>
            <family val="3"/>
            <charset val="134"/>
          </rPr>
          <t>元、一次性用品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元、杂费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元，共计应收</t>
        </r>
        <r>
          <rPr>
            <sz val="9"/>
            <color indexed="81"/>
            <rFont val="Tahoma"/>
            <family val="2"/>
          </rPr>
          <t>15700</t>
        </r>
        <r>
          <rPr>
            <sz val="9"/>
            <color indexed="81"/>
            <rFont val="宋体"/>
            <family val="3"/>
            <charset val="134"/>
          </rPr>
          <t>元整；应退</t>
        </r>
        <r>
          <rPr>
            <sz val="9"/>
            <color indexed="81"/>
            <rFont val="Tahoma"/>
            <family val="2"/>
          </rPr>
          <t>2012.9.1-2013.4.30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2000*8=16000</t>
        </r>
        <r>
          <rPr>
            <sz val="9"/>
            <color indexed="81"/>
            <rFont val="宋体"/>
            <family val="3"/>
            <charset val="134"/>
          </rPr>
          <t>元、餐费</t>
        </r>
        <r>
          <rPr>
            <sz val="9"/>
            <color indexed="81"/>
            <rFont val="Tahoma"/>
            <family val="2"/>
          </rPr>
          <t>200*8=1600</t>
        </r>
        <r>
          <rPr>
            <sz val="9"/>
            <color indexed="81"/>
            <rFont val="宋体"/>
            <family val="3"/>
            <charset val="134"/>
          </rPr>
          <t>元、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月请假退</t>
        </r>
        <r>
          <rPr>
            <sz val="9"/>
            <color indexed="81"/>
            <rFont val="Tahoma"/>
            <family val="2"/>
          </rPr>
          <t>1700</t>
        </r>
        <r>
          <rPr>
            <sz val="9"/>
            <color indexed="81"/>
            <rFont val="宋体"/>
            <family val="3"/>
            <charset val="134"/>
          </rPr>
          <t>学费，共计应退</t>
        </r>
        <r>
          <rPr>
            <sz val="9"/>
            <color indexed="81"/>
            <rFont val="Tahoma"/>
            <family val="2"/>
          </rPr>
          <t>19300</t>
        </r>
        <r>
          <rPr>
            <sz val="9"/>
            <color indexed="81"/>
            <rFont val="宋体"/>
            <family val="3"/>
            <charset val="134"/>
          </rPr>
          <t>元，家长同意用应退款冲减应收款，合计应退</t>
        </r>
        <r>
          <rPr>
            <sz val="9"/>
            <color indexed="81"/>
            <rFont val="Tahoma"/>
            <family val="2"/>
          </rPr>
          <t>3600</t>
        </r>
        <r>
          <rPr>
            <sz val="9"/>
            <color indexed="81"/>
            <rFont val="宋体"/>
            <family val="3"/>
            <charset val="134"/>
          </rPr>
          <t>元整，</t>
        </r>
        <r>
          <rPr>
            <sz val="9"/>
            <color indexed="81"/>
            <rFont val="Tahoma"/>
            <family val="2"/>
          </rPr>
          <t>2013.3.22</t>
        </r>
        <r>
          <rPr>
            <sz val="9"/>
            <color indexed="81"/>
            <rFont val="宋体"/>
            <family val="3"/>
            <charset val="134"/>
          </rPr>
          <t>日</t>
        </r>
        <r>
          <rPr>
            <sz val="9"/>
            <color indexed="81"/>
            <rFont val="Tahoma"/>
            <family val="2"/>
          </rPr>
          <t>3600</t>
        </r>
        <r>
          <rPr>
            <sz val="9"/>
            <color indexed="81"/>
            <rFont val="宋体"/>
            <family val="3"/>
            <charset val="134"/>
          </rPr>
          <t>元已退。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1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C271" authorId="2">
      <text>
        <r>
          <rPr>
            <sz val="9"/>
            <color indexed="81"/>
            <rFont val="宋体"/>
            <family val="3"/>
            <charset val="134"/>
          </rPr>
          <t xml:space="preserve">根据税梓航小朋友2012.12、2013.1、2、3、4、5月的出勤情况，应退学费8250元，应退餐费315元，共计9565元，以上金额用于抵扣餐费400*3（2013.6.1-2013.8.31），剩余8365元，作为备用金，2013.9.22备用金已退。
</t>
        </r>
      </text>
    </comment>
    <comment ref="B272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C272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缴纳2011年9月5日-2012年8月31日学费37800元，餐费2011年9月5日-2012年2月28日餐费3960元，2011年12月-2012年2月份校车费900元，共计缴纳费用42660元，由于12年2月份费用下调，学费由3150元下调到2000元，差额1150*7=8050元，餐费660元下调到360元，差额300元，11、1月份请假1个月零7天，应退学费4152元，餐费870元，杂费1500元，校车费300元，应退还金额15172元，扣除12年3月-8月餐费360*6=2160元，实际退还13012元，已退完
2012.8.28缴纳2012.9.1-2013.2.28学费2000*6=12000元、2012.9.1-2012.9.30餐费400元、2012.9.1-2013.2.28校车费200*6=1200元、一次性用品1000元、2012.9.1-2013.2.28杂费300元，应收合计14900元，应退五月餐费15元、六月餐费126元、七月餐费144元，，应退合计285元，实际收款14615元整。
 根据 贾浩然小朋友10、11月份的出勤，退学费1500元，餐费445元，共计1945元，用于抵2013.1月份的餐费（400元），剩余1545元，作为备用金。2013.3.1日备用金1545元已退。                                  </t>
        </r>
      </text>
    </comment>
    <comment ref="I272" authorId="1">
      <text>
        <r>
          <rPr>
            <sz val="9"/>
            <color indexed="81"/>
            <rFont val="宋体"/>
            <family val="3"/>
            <charset val="134"/>
          </rPr>
          <t>退</t>
        </r>
        <r>
          <rPr>
            <sz val="9"/>
            <color indexed="81"/>
            <rFont val="Tahoma"/>
            <family val="2"/>
          </rPr>
          <t>5.6.7</t>
        </r>
        <r>
          <rPr>
            <sz val="9"/>
            <color indexed="81"/>
            <rFont val="宋体"/>
            <family val="3"/>
            <charset val="134"/>
          </rPr>
          <t>月餐费</t>
        </r>
        <r>
          <rPr>
            <sz val="9"/>
            <color indexed="81"/>
            <rFont val="Tahoma"/>
            <family val="2"/>
          </rPr>
          <t xml:space="preserve">285
</t>
        </r>
      </text>
    </comment>
    <comment ref="B27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C273" authorId="1">
      <text>
        <r>
          <rPr>
            <sz val="9"/>
            <color indexed="81"/>
            <rFont val="Tahoma"/>
            <family val="2"/>
          </rPr>
          <t>2012.8.31</t>
        </r>
        <r>
          <rPr>
            <sz val="9"/>
            <color indexed="81"/>
            <rFont val="宋体"/>
            <family val="3"/>
            <charset val="134"/>
          </rPr>
          <t>缴纳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12000</t>
        </r>
        <r>
          <rPr>
            <sz val="9"/>
            <color indexed="81"/>
            <rFont val="宋体"/>
            <family val="3"/>
            <charset val="134"/>
          </rPr>
          <t>元、</t>
        </r>
        <r>
          <rPr>
            <sz val="9"/>
            <color indexed="81"/>
            <rFont val="Tahoma"/>
            <family val="2"/>
          </rPr>
          <t>2012.9.1-2012.9.30</t>
        </r>
        <r>
          <rPr>
            <sz val="9"/>
            <color indexed="81"/>
            <rFont val="宋体"/>
            <family val="3"/>
            <charset val="134"/>
          </rPr>
          <t>餐费</t>
        </r>
        <r>
          <rPr>
            <sz val="9"/>
            <color indexed="81"/>
            <rFont val="Tahoma"/>
            <family val="2"/>
          </rPr>
          <t>400</t>
        </r>
        <r>
          <rPr>
            <sz val="9"/>
            <color indexed="81"/>
            <rFont val="宋体"/>
            <family val="3"/>
            <charset val="134"/>
          </rPr>
          <t>元、一次性用品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元、杂费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元，共计</t>
        </r>
        <r>
          <rPr>
            <sz val="9"/>
            <color indexed="81"/>
            <rFont val="Tahoma"/>
            <family val="2"/>
          </rPr>
          <t>13700</t>
        </r>
        <r>
          <rPr>
            <sz val="9"/>
            <color indexed="81"/>
            <rFont val="宋体"/>
            <family val="3"/>
            <charset val="134"/>
          </rPr>
          <t>元，应退已交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1900*6=11400</t>
        </r>
        <r>
          <rPr>
            <sz val="9"/>
            <color indexed="81"/>
            <rFont val="宋体"/>
            <family val="3"/>
            <charset val="134"/>
          </rPr>
          <t>元、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月半月学费</t>
        </r>
        <r>
          <rPr>
            <sz val="9"/>
            <color indexed="81"/>
            <rFont val="Tahoma"/>
            <family val="2"/>
          </rPr>
          <t>1900/2=950</t>
        </r>
        <r>
          <rPr>
            <sz val="9"/>
            <color indexed="81"/>
            <rFont val="宋体"/>
            <family val="3"/>
            <charset val="134"/>
          </rPr>
          <t>元，共计</t>
        </r>
        <r>
          <rPr>
            <sz val="9"/>
            <color indexed="81"/>
            <rFont val="Tahoma"/>
            <family val="2"/>
          </rPr>
          <t>12350</t>
        </r>
        <r>
          <rPr>
            <sz val="9"/>
            <color indexed="81"/>
            <rFont val="宋体"/>
            <family val="3"/>
            <charset val="134"/>
          </rPr>
          <t>元，实收</t>
        </r>
        <r>
          <rPr>
            <sz val="9"/>
            <color indexed="81"/>
            <rFont val="Tahoma"/>
            <family val="2"/>
          </rPr>
          <t>1350</t>
        </r>
        <r>
          <rPr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根据</t>
        </r>
        <r>
          <rPr>
            <sz val="9"/>
            <color indexed="81"/>
            <rFont val="Tahoma"/>
            <family val="2"/>
          </rPr>
          <t>10</t>
        </r>
        <r>
          <rPr>
            <sz val="9"/>
            <color indexed="81"/>
            <rFont val="宋体"/>
            <family val="3"/>
            <charset val="134"/>
          </rPr>
          <t>月份的出勤，应退其学费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元，用于抵扣</t>
        </r>
        <r>
          <rPr>
            <sz val="9"/>
            <color indexed="81"/>
            <rFont val="Tahoma"/>
            <family val="2"/>
          </rPr>
          <t>2012.12</t>
        </r>
        <r>
          <rPr>
            <sz val="9"/>
            <color indexed="81"/>
            <rFont val="宋体"/>
            <family val="3"/>
            <charset val="134"/>
          </rPr>
          <t>月份</t>
        </r>
        <r>
          <rPr>
            <sz val="9"/>
            <color indexed="81"/>
            <rFont val="Tahoma"/>
            <family val="2"/>
          </rPr>
          <t>2013.1</t>
        </r>
        <r>
          <rPr>
            <sz val="9"/>
            <color indexed="81"/>
            <rFont val="宋体"/>
            <family val="3"/>
            <charset val="134"/>
          </rPr>
          <t>、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宋体"/>
            <family val="3"/>
            <charset val="134"/>
          </rPr>
          <t>月份的餐费（</t>
        </r>
        <r>
          <rPr>
            <sz val="9"/>
            <color indexed="81"/>
            <rFont val="Tahoma"/>
            <family val="2"/>
          </rPr>
          <t>400*3</t>
        </r>
        <r>
          <rPr>
            <sz val="9"/>
            <color indexed="81"/>
            <rFont val="宋体"/>
            <family val="3"/>
            <charset val="134"/>
          </rPr>
          <t>），剩余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元，作为备用金，</t>
        </r>
        <r>
          <rPr>
            <sz val="9"/>
            <color indexed="81"/>
            <rFont val="Tahoma"/>
            <family val="2"/>
          </rPr>
          <t>2013.3.1</t>
        </r>
        <r>
          <rPr>
            <sz val="9"/>
            <color indexed="81"/>
            <rFont val="宋体"/>
            <family val="3"/>
            <charset val="134"/>
          </rPr>
          <t>备用金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元已退。
根据</t>
        </r>
        <r>
          <rPr>
            <sz val="9"/>
            <color indexed="81"/>
            <rFont val="Tahoma"/>
            <family val="2"/>
          </rPr>
          <t>2013.2</t>
        </r>
        <r>
          <rPr>
            <sz val="9"/>
            <color indexed="81"/>
            <rFont val="宋体"/>
            <family val="3"/>
            <charset val="134"/>
          </rPr>
          <t>月份的出勤情况，退学费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元，餐费</t>
        </r>
        <r>
          <rPr>
            <sz val="9"/>
            <color indexed="81"/>
            <rFont val="Tahoma"/>
            <family val="2"/>
          </rPr>
          <t>400</t>
        </r>
        <r>
          <rPr>
            <sz val="9"/>
            <color indexed="81"/>
            <rFont val="宋体"/>
            <family val="3"/>
            <charset val="134"/>
          </rPr>
          <t>元，共计</t>
        </r>
        <r>
          <rPr>
            <sz val="9"/>
            <color indexed="81"/>
            <rFont val="Tahoma"/>
            <family val="2"/>
          </rPr>
          <t>1900</t>
        </r>
        <r>
          <rPr>
            <sz val="9"/>
            <color indexed="81"/>
            <rFont val="宋体"/>
            <family val="3"/>
            <charset val="134"/>
          </rPr>
          <t>元，用于抵扣餐费（</t>
        </r>
        <r>
          <rPr>
            <sz val="9"/>
            <color indexed="81"/>
            <rFont val="Tahoma"/>
            <family val="2"/>
          </rPr>
          <t>2013.4.1-2013.7.31</t>
        </r>
        <r>
          <rPr>
            <sz val="9"/>
            <color indexed="81"/>
            <rFont val="宋体"/>
            <family val="3"/>
            <charset val="134"/>
          </rPr>
          <t>），剩余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元，作为备用金，未退。</t>
        </r>
      </text>
    </comment>
    <comment ref="G273" authorId="1">
      <text>
        <r>
          <rPr>
            <sz val="9"/>
            <color indexed="81"/>
            <rFont val="Tahoma"/>
            <family val="2"/>
          </rPr>
          <t>1900/2</t>
        </r>
        <r>
          <rPr>
            <sz val="9"/>
            <color indexed="81"/>
            <rFont val="宋体"/>
            <family val="3"/>
            <charset val="134"/>
          </rPr>
          <t>为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宋体"/>
            <family val="3"/>
            <charset val="134"/>
          </rPr>
          <t>月应退学费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4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D275" authorId="2">
      <text>
        <r>
          <rPr>
            <b/>
            <sz val="9"/>
            <color indexed="81"/>
            <rFont val="宋体"/>
            <family val="3"/>
            <charset val="134"/>
          </rPr>
          <t>先交1000报名费</t>
        </r>
      </text>
    </comment>
    <comment ref="B276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B277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C277" authorId="1">
      <text>
        <r>
          <rPr>
            <sz val="9"/>
            <color indexed="81"/>
            <rFont val="Tahoma"/>
            <family val="2"/>
          </rPr>
          <t>3000</t>
        </r>
        <r>
          <rPr>
            <sz val="9"/>
            <color indexed="81"/>
            <rFont val="宋体"/>
            <family val="3"/>
            <charset val="134"/>
          </rPr>
          <t>报名费</t>
        </r>
        <r>
          <rPr>
            <sz val="9"/>
            <color indexed="81"/>
            <rFont val="Tahoma"/>
            <family val="2"/>
          </rPr>
          <t>+3900</t>
        </r>
        <r>
          <rPr>
            <sz val="9"/>
            <color indexed="81"/>
            <rFont val="宋体"/>
            <family val="3"/>
            <charset val="134"/>
          </rPr>
          <t>现金</t>
        </r>
        <r>
          <rPr>
            <sz val="9"/>
            <color indexed="81"/>
            <rFont val="Tahoma"/>
            <family val="2"/>
          </rPr>
          <t>+9000</t>
        </r>
        <r>
          <rPr>
            <sz val="9"/>
            <color indexed="81"/>
            <rFont val="宋体"/>
            <family val="3"/>
            <charset val="134"/>
          </rPr>
          <t>刷卡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7" authorId="1">
      <text>
        <r>
          <rPr>
            <sz val="9"/>
            <color indexed="81"/>
            <rFont val="Tahoma"/>
            <family val="2"/>
          </rPr>
          <t>2012.5.3</t>
        </r>
        <r>
          <rPr>
            <sz val="9"/>
            <color indexed="81"/>
            <rFont val="宋体"/>
            <family val="3"/>
            <charset val="134"/>
          </rPr>
          <t>交报名费</t>
        </r>
        <r>
          <rPr>
            <sz val="9"/>
            <color indexed="81"/>
            <rFont val="Tahoma"/>
            <family val="2"/>
          </rPr>
          <t>3000</t>
        </r>
        <r>
          <rPr>
            <sz val="9"/>
            <color indexed="81"/>
            <rFont val="宋体"/>
            <family val="3"/>
            <charset val="134"/>
          </rPr>
          <t>元整，</t>
        </r>
        <r>
          <rPr>
            <sz val="9"/>
            <color indexed="81"/>
            <rFont val="Tahoma"/>
            <family val="2"/>
          </rPr>
          <t>2012.8.1</t>
        </r>
        <r>
          <rPr>
            <sz val="9"/>
            <color indexed="81"/>
            <rFont val="宋体"/>
            <family val="3"/>
            <charset val="134"/>
          </rPr>
          <t>交学费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杂费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一次性用品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餐费</t>
        </r>
        <r>
          <rPr>
            <sz val="9"/>
            <color indexed="81"/>
            <rFont val="Tahoma"/>
            <family val="2"/>
          </rPr>
          <t xml:space="preserve">  3000</t>
        </r>
        <r>
          <rPr>
            <sz val="9"/>
            <color indexed="81"/>
            <rFont val="宋体"/>
            <family val="3"/>
            <charset val="134"/>
          </rPr>
          <t>报名费抵学费</t>
        </r>
      </text>
    </comment>
    <comment ref="B27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费用已退</t>
        </r>
      </text>
    </comment>
    <comment ref="C278" authorId="0">
      <text>
        <r>
          <rPr>
            <b/>
            <sz val="9"/>
            <color indexed="81"/>
            <rFont val="宋体"/>
            <family val="3"/>
            <charset val="134"/>
          </rPr>
          <t>PKU:</t>
        </r>
        <r>
          <rPr>
            <sz val="9"/>
            <color indexed="81"/>
            <rFont val="宋体"/>
            <family val="3"/>
            <charset val="134"/>
          </rPr>
          <t xml:space="preserve">
该生共缴纳2011年9月5日-2012年8月31日学费3150*12=37800元，餐费7920元，总计收费45720元，由于12年2月份费用下调，学费由3150元下调到2000元，差额1150*7=8050元，餐费由660元下调到360元，差额300*7=2100元，退1月份请假学费3150元，1个月零4天餐费739元，杂费1500元，总计退费15539元，已退完
2012.8.27该生缴纳2012.9.1-2013.2.28学费2000*6=12000元，2012.9.1-2012.11.30餐费1200元，一次性用品1000元，2012.9.1-2013.2.28杂费300元，合计14500元整。</t>
        </r>
      </text>
    </comment>
    <comment ref="C279" authorId="2">
      <text>
        <r>
          <rPr>
            <sz val="9"/>
            <color indexed="81"/>
            <rFont val="宋体"/>
            <family val="3"/>
            <charset val="134"/>
          </rPr>
          <t xml:space="preserve">
根据李弈霏2013.6月的出勤情况，退学费1250元，餐费150元，共计1400元，用于抵扣餐费（2013.7.1-2013.7.31），剩余1000元，作为备用金，未退。</t>
        </r>
      </text>
    </comment>
    <comment ref="C280" authorId="2">
      <text>
        <r>
          <rPr>
            <sz val="9"/>
            <color indexed="81"/>
            <rFont val="宋体"/>
            <family val="3"/>
            <charset val="134"/>
          </rPr>
          <t>根据李弈霖2013.6月的出勤情况，退学费1250元，餐费165元，共计1415元，用于抵扣餐费（2013.7.1-2013.7.31），剩余1015元，作为备用金，未退。</t>
        </r>
      </text>
    </comment>
    <comment ref="C283" authorId="2">
      <text>
        <r>
          <rPr>
            <sz val="9"/>
            <color indexed="81"/>
            <rFont val="宋体"/>
            <family val="3"/>
            <charset val="134"/>
          </rPr>
          <t xml:space="preserve">根据王子希小朋友2013.2月份的出勤情况，退学费2000元，餐费400元，校车费200元，共计2600元，用于抵扣2013.4、5、6、7、8月份餐费，剩余600元，作为备用金,备用金已退
</t>
        </r>
      </text>
    </comment>
    <comment ref="C284" authorId="1">
      <text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95</t>
        </r>
        <r>
          <rPr>
            <sz val="9"/>
            <color indexed="81"/>
            <rFont val="宋体"/>
            <family val="3"/>
            <charset val="134"/>
          </rPr>
          <t>折</t>
        </r>
        <r>
          <rPr>
            <sz val="9"/>
            <color indexed="81"/>
            <rFont val="Tahoma"/>
            <family val="2"/>
          </rPr>
          <t xml:space="preserve">   2375/</t>
        </r>
        <r>
          <rPr>
            <sz val="9"/>
            <color indexed="81"/>
            <rFont val="宋体"/>
            <family val="3"/>
            <charset val="134"/>
          </rPr>
          <t>月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4" authorId="1">
      <text>
        <r>
          <rPr>
            <b/>
            <sz val="9"/>
            <color indexed="81"/>
            <rFont val="Tahoma"/>
            <family val="2"/>
          </rPr>
          <t>2012.7.24</t>
        </r>
        <r>
          <rPr>
            <b/>
            <sz val="9"/>
            <color indexed="81"/>
            <rFont val="宋体"/>
            <family val="3"/>
            <charset val="134"/>
          </rPr>
          <t>学费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宋体"/>
            <family val="3"/>
            <charset val="134"/>
          </rPr>
          <t>餐费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宋体"/>
            <family val="3"/>
            <charset val="134"/>
          </rPr>
          <t>班车费</t>
        </r>
      </text>
    </comment>
    <comment ref="K28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6" authorId="1">
      <text>
        <r>
          <rPr>
            <sz val="9"/>
            <color indexed="81"/>
            <rFont val="Tahoma"/>
            <family val="2"/>
          </rPr>
          <t>2012.8.23</t>
        </r>
        <r>
          <rPr>
            <sz val="9"/>
            <color indexed="81"/>
            <rFont val="宋体"/>
            <family val="3"/>
            <charset val="134"/>
          </rPr>
          <t>缴纳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3000*6=18000</t>
        </r>
        <r>
          <rPr>
            <sz val="9"/>
            <color indexed="81"/>
            <rFont val="宋体"/>
            <family val="3"/>
            <charset val="134"/>
          </rPr>
          <t>元、餐费</t>
        </r>
        <r>
          <rPr>
            <sz val="9"/>
            <color indexed="81"/>
            <rFont val="Tahoma"/>
            <family val="2"/>
          </rPr>
          <t>2400</t>
        </r>
        <r>
          <rPr>
            <sz val="9"/>
            <color indexed="81"/>
            <rFont val="宋体"/>
            <family val="3"/>
            <charset val="134"/>
          </rPr>
          <t>元、校车费</t>
        </r>
        <r>
          <rPr>
            <sz val="9"/>
            <color indexed="81"/>
            <rFont val="Tahoma"/>
            <family val="2"/>
          </rPr>
          <t>1200</t>
        </r>
        <r>
          <rPr>
            <sz val="9"/>
            <color indexed="81"/>
            <rFont val="宋体"/>
            <family val="3"/>
            <charset val="134"/>
          </rPr>
          <t>元、一次性用品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元、杂费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元，合计</t>
        </r>
        <r>
          <rPr>
            <sz val="9"/>
            <color indexed="81"/>
            <rFont val="Tahoma"/>
            <family val="2"/>
          </rPr>
          <t>22900</t>
        </r>
        <r>
          <rPr>
            <sz val="9"/>
            <color indexed="81"/>
            <rFont val="宋体"/>
            <family val="3"/>
            <charset val="134"/>
          </rPr>
          <t>元，应退欧瑞已经缴纳</t>
        </r>
        <r>
          <rPr>
            <sz val="9"/>
            <color indexed="81"/>
            <rFont val="Tahoma"/>
            <family val="2"/>
          </rPr>
          <t>2012.9.1-2013.3.31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3000*7=21000</t>
        </r>
        <r>
          <rPr>
            <sz val="9"/>
            <color indexed="81"/>
            <rFont val="宋体"/>
            <family val="3"/>
            <charset val="134"/>
          </rPr>
          <t>元、餐费</t>
        </r>
        <r>
          <rPr>
            <sz val="9"/>
            <color indexed="81"/>
            <rFont val="Tahoma"/>
            <family val="2"/>
          </rPr>
          <t>200*7=1400</t>
        </r>
        <r>
          <rPr>
            <sz val="9"/>
            <color indexed="81"/>
            <rFont val="宋体"/>
            <family val="3"/>
            <charset val="134"/>
          </rPr>
          <t>元、六月手足口学费</t>
        </r>
        <r>
          <rPr>
            <sz val="9"/>
            <color indexed="81"/>
            <rFont val="Tahoma"/>
            <family val="2"/>
          </rPr>
          <t>+</t>
        </r>
        <r>
          <rPr>
            <sz val="9"/>
            <color indexed="81"/>
            <rFont val="宋体"/>
            <family val="3"/>
            <charset val="134"/>
          </rPr>
          <t>餐费</t>
        </r>
        <r>
          <rPr>
            <sz val="9"/>
            <color indexed="81"/>
            <rFont val="Tahoma"/>
            <family val="2"/>
          </rPr>
          <t>1500+100=1600</t>
        </r>
        <r>
          <rPr>
            <sz val="9"/>
            <color indexed="81"/>
            <rFont val="宋体"/>
            <family val="3"/>
            <charset val="134"/>
          </rPr>
          <t>元，合计</t>
        </r>
        <r>
          <rPr>
            <sz val="9"/>
            <color indexed="81"/>
            <rFont val="Tahoma"/>
            <family val="2"/>
          </rPr>
          <t>24000</t>
        </r>
        <r>
          <rPr>
            <sz val="9"/>
            <color indexed="81"/>
            <rFont val="宋体"/>
            <family val="3"/>
            <charset val="134"/>
          </rPr>
          <t>元，实际应退</t>
        </r>
        <r>
          <rPr>
            <sz val="9"/>
            <color indexed="81"/>
            <rFont val="Tahoma"/>
            <family val="2"/>
          </rPr>
          <t>1100</t>
        </r>
        <r>
          <rPr>
            <sz val="9"/>
            <color indexed="81"/>
            <rFont val="宋体"/>
            <family val="3"/>
            <charset val="134"/>
          </rPr>
          <t>元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，</t>
        </r>
        <r>
          <rPr>
            <sz val="9"/>
            <color indexed="81"/>
            <rFont val="Tahoma"/>
            <family val="2"/>
          </rPr>
          <t xml:space="preserve">
2013.2.25</t>
        </r>
        <r>
          <rPr>
            <sz val="9"/>
            <color indexed="81"/>
            <rFont val="宋体"/>
            <family val="3"/>
            <charset val="134"/>
          </rPr>
          <t>日备用金</t>
        </r>
        <r>
          <rPr>
            <sz val="9"/>
            <color indexed="81"/>
            <rFont val="Tahoma"/>
            <family val="2"/>
          </rPr>
          <t>1100</t>
        </r>
        <r>
          <rPr>
            <sz val="9"/>
            <color indexed="81"/>
            <rFont val="宋体"/>
            <family val="3"/>
            <charset val="134"/>
          </rPr>
          <t>元已退</t>
        </r>
      </text>
    </comment>
    <comment ref="F286" authorId="1">
      <text>
        <r>
          <rPr>
            <b/>
            <sz val="9"/>
            <color indexed="81"/>
            <rFont val="宋体"/>
            <family val="3"/>
            <charset val="134"/>
          </rPr>
          <t>学费期限</t>
        </r>
        <r>
          <rPr>
            <b/>
            <sz val="9"/>
            <color indexed="81"/>
            <rFont val="Tahoma"/>
            <family val="2"/>
          </rPr>
          <t>2012.4.10-2013.3.31</t>
        </r>
        <r>
          <rPr>
            <b/>
            <sz val="9"/>
            <color indexed="81"/>
            <rFont val="宋体"/>
            <family val="3"/>
            <charset val="134"/>
          </rPr>
          <t>变更为</t>
        </r>
        <r>
          <rPr>
            <b/>
            <sz val="9"/>
            <color indexed="81"/>
            <rFont val="Tahoma"/>
            <family val="2"/>
          </rPr>
          <t>2012.4.10-2013.2.28</t>
        </r>
      </text>
    </comment>
    <comment ref="G286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7" authorId="1">
      <text>
        <r>
          <rPr>
            <sz val="9"/>
            <color indexed="81"/>
            <rFont val="宋体"/>
            <family val="3"/>
            <charset val="134"/>
          </rPr>
          <t>该生于</t>
        </r>
        <r>
          <rPr>
            <sz val="9"/>
            <color indexed="81"/>
            <rFont val="Tahoma"/>
            <family val="2"/>
          </rPr>
          <t>2012.4.23</t>
        </r>
        <r>
          <rPr>
            <sz val="9"/>
            <color indexed="81"/>
            <rFont val="宋体"/>
            <family val="3"/>
            <charset val="134"/>
          </rPr>
          <t>缴纳</t>
        </r>
        <r>
          <rPr>
            <sz val="9"/>
            <color indexed="81"/>
            <rFont val="Tahoma"/>
            <family val="2"/>
          </rPr>
          <t>2012.5.1-2013.4.30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3000*12=36000</t>
        </r>
        <r>
          <rPr>
            <sz val="9"/>
            <color indexed="81"/>
            <rFont val="宋体"/>
            <family val="3"/>
            <charset val="134"/>
          </rPr>
          <t>元，截止到</t>
        </r>
        <r>
          <rPr>
            <sz val="9"/>
            <color indexed="81"/>
            <rFont val="Tahoma"/>
            <family val="2"/>
          </rPr>
          <t>2012.8.31</t>
        </r>
        <r>
          <rPr>
            <sz val="9"/>
            <color indexed="81"/>
            <rFont val="宋体"/>
            <family val="3"/>
            <charset val="134"/>
          </rPr>
          <t>，应退学费</t>
        </r>
        <r>
          <rPr>
            <sz val="9"/>
            <color indexed="81"/>
            <rFont val="Tahoma"/>
            <family val="2"/>
          </rPr>
          <t>3000*8=24000</t>
        </r>
        <r>
          <rPr>
            <sz val="9"/>
            <color indexed="81"/>
            <rFont val="宋体"/>
            <family val="3"/>
            <charset val="134"/>
          </rPr>
          <t>，</t>
        </r>
        <r>
          <rPr>
            <sz val="9"/>
            <color indexed="81"/>
            <rFont val="Tahoma"/>
            <family val="2"/>
          </rPr>
          <t>2012</t>
        </r>
        <r>
          <rPr>
            <sz val="9"/>
            <color indexed="81"/>
            <rFont val="宋体"/>
            <family val="3"/>
            <charset val="134"/>
          </rPr>
          <t>年</t>
        </r>
        <r>
          <rPr>
            <sz val="9"/>
            <color indexed="81"/>
            <rFont val="Tahoma"/>
            <family val="2"/>
          </rPr>
          <t>6</t>
        </r>
        <r>
          <rPr>
            <sz val="9"/>
            <color indexed="81"/>
            <rFont val="宋体"/>
            <family val="3"/>
            <charset val="134"/>
          </rPr>
          <t>月份手足口退半月学费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元整，应退合计</t>
        </r>
        <r>
          <rPr>
            <sz val="9"/>
            <color indexed="81"/>
            <rFont val="Tahoma"/>
            <family val="2"/>
          </rPr>
          <t>25500</t>
        </r>
        <r>
          <rPr>
            <sz val="9"/>
            <color indexed="81"/>
            <rFont val="宋体"/>
            <family val="3"/>
            <charset val="134"/>
          </rPr>
          <t>元。</t>
        </r>
        <r>
          <rPr>
            <sz val="9"/>
            <color indexed="81"/>
            <rFont val="Tahoma"/>
            <family val="2"/>
          </rPr>
          <t>2012.8.6</t>
        </r>
        <r>
          <rPr>
            <sz val="9"/>
            <color indexed="81"/>
            <rFont val="宋体"/>
            <family val="3"/>
            <charset val="134"/>
          </rPr>
          <t>由于</t>
        </r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宋体"/>
            <family val="3"/>
            <charset val="134"/>
          </rPr>
          <t>月份执行北大公学新政策，家长将学费期限改为</t>
        </r>
        <r>
          <rPr>
            <sz val="9"/>
            <color indexed="81"/>
            <rFont val="Tahoma"/>
            <family val="2"/>
          </rPr>
          <t>2012.9.1-2013.2.28</t>
        </r>
        <r>
          <rPr>
            <sz val="9"/>
            <color indexed="81"/>
            <rFont val="宋体"/>
            <family val="3"/>
            <charset val="134"/>
          </rPr>
          <t>学费</t>
        </r>
        <r>
          <rPr>
            <sz val="9"/>
            <color indexed="81"/>
            <rFont val="Tahoma"/>
            <family val="2"/>
          </rPr>
          <t>3000*6=18000</t>
        </r>
        <r>
          <rPr>
            <sz val="9"/>
            <color indexed="81"/>
            <rFont val="宋体"/>
            <family val="3"/>
            <charset val="134"/>
          </rPr>
          <t>元、餐费</t>
        </r>
        <r>
          <rPr>
            <sz val="9"/>
            <color indexed="81"/>
            <rFont val="Tahoma"/>
            <family val="2"/>
          </rPr>
          <t>400*6=2400</t>
        </r>
        <r>
          <rPr>
            <sz val="9"/>
            <color indexed="81"/>
            <rFont val="宋体"/>
            <family val="3"/>
            <charset val="134"/>
          </rPr>
          <t>元、杂费</t>
        </r>
        <r>
          <rPr>
            <sz val="9"/>
            <color indexed="81"/>
            <rFont val="Tahoma"/>
            <family val="2"/>
          </rPr>
          <t>300</t>
        </r>
        <r>
          <rPr>
            <sz val="9"/>
            <color indexed="81"/>
            <rFont val="宋体"/>
            <family val="3"/>
            <charset val="134"/>
          </rPr>
          <t>元、一次性用品</t>
        </r>
        <r>
          <rPr>
            <sz val="9"/>
            <color indexed="81"/>
            <rFont val="Tahoma"/>
            <family val="2"/>
          </rPr>
          <t>1000</t>
        </r>
        <r>
          <rPr>
            <sz val="9"/>
            <color indexed="81"/>
            <rFont val="宋体"/>
            <family val="3"/>
            <charset val="134"/>
          </rPr>
          <t>元，共计应收</t>
        </r>
        <r>
          <rPr>
            <sz val="9"/>
            <color indexed="81"/>
            <rFont val="Tahoma"/>
            <family val="2"/>
          </rPr>
          <t>21700</t>
        </r>
        <r>
          <rPr>
            <sz val="9"/>
            <color indexed="81"/>
            <rFont val="宋体"/>
            <family val="3"/>
            <charset val="134"/>
          </rPr>
          <t>元，应退</t>
        </r>
        <r>
          <rPr>
            <sz val="9"/>
            <color indexed="81"/>
            <rFont val="Tahoma"/>
            <family val="2"/>
          </rPr>
          <t>2300+1500=3800</t>
        </r>
        <r>
          <rPr>
            <sz val="9"/>
            <color indexed="81"/>
            <rFont val="宋体"/>
            <family val="3"/>
            <charset val="134"/>
          </rPr>
          <t>元，已退（</t>
        </r>
        <r>
          <rPr>
            <sz val="9"/>
            <color indexed="81"/>
            <rFont val="Tahoma"/>
            <family val="2"/>
          </rPr>
          <t>2012.10.22</t>
        </r>
        <r>
          <rPr>
            <sz val="9"/>
            <color indexed="81"/>
            <rFont val="宋体"/>
            <family val="3"/>
            <charset val="134"/>
          </rPr>
          <t>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8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享受优惠政策开始</t>
        </r>
      </text>
    </comment>
    <comment ref="D288" authorId="2">
      <text>
        <r>
          <rPr>
            <b/>
            <sz val="9"/>
            <color indexed="81"/>
            <rFont val="宋体"/>
            <family val="3"/>
            <charset val="134"/>
          </rPr>
          <t>2012.6.16交报名费2012.7.7交杂费+一次性用品</t>
        </r>
      </text>
    </comment>
    <comment ref="C290" authorId="2">
      <text>
        <r>
          <rPr>
            <sz val="9"/>
            <color indexed="81"/>
            <rFont val="宋体"/>
            <family val="3"/>
            <charset val="134"/>
          </rPr>
          <t>尹子健小朋友缴纳2012.8.20-2014.8.31学费1575+3150*24=77175
元，2012.8.1-2013.2.28餐费400*7=2800，由于调整入学起止时间，改为2012.9.1入学，应退2012.8.20-2012.8.31学费1575元，2012.8.1-2012.8.31餐费400元，共计1975元，已退。
根据尹子健小朋友2012.10月、12月，2013.1、2月的出勤情况，退学费5300元，餐费905元，共计6205元，用于抵扣餐费（2013.3.1-2013.8.31）以及杂费300元（2013.3.1-2013.8.31），剩余3505元，作为备用金，2013.3.28日用于抵扣轮滑课费60*16=960元，剩余2545元，作为备用金。
根据2013.6、8月的出勤情况退学费4225元，退餐费505元，加上备用金共计7275元，用于抵扣杂费600元（2013.9.1-2014.2.28）以及餐费（2013.9.1-2014.2.28）和泥塑课费960元，剩余3315元，作为备用金，已退。</t>
        </r>
      </text>
    </comment>
    <comment ref="D290" authorId="1">
      <text>
        <r>
          <rPr>
            <sz val="9"/>
            <color indexed="81"/>
            <rFont val="宋体"/>
            <family val="3"/>
            <charset val="134"/>
          </rPr>
          <t>八月如果入园再补交八月学费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90" authorId="1">
      <text>
        <r>
          <rPr>
            <sz val="9"/>
            <color indexed="81"/>
            <rFont val="Tahoma"/>
            <family val="2"/>
          </rPr>
          <t>2012.8.9</t>
        </r>
        <r>
          <rPr>
            <sz val="9"/>
            <color indexed="81"/>
            <rFont val="宋体"/>
            <family val="3"/>
            <charset val="134"/>
          </rPr>
          <t>补交</t>
        </r>
        <r>
          <rPr>
            <sz val="9"/>
            <color indexed="81"/>
            <rFont val="Tahoma"/>
            <family val="2"/>
          </rPr>
          <t>2012.8.20-2012.8.31</t>
        </r>
        <r>
          <rPr>
            <sz val="9"/>
            <color indexed="81"/>
            <rFont val="宋体"/>
            <family val="3"/>
            <charset val="134"/>
          </rPr>
          <t>学费及餐费</t>
        </r>
        <r>
          <rPr>
            <sz val="9"/>
            <color indexed="81"/>
            <rFont val="Tahoma"/>
            <family val="2"/>
          </rPr>
          <t xml:space="preserve">2012.8.1-2013.2.28
</t>
        </r>
      </text>
    </comment>
    <comment ref="C295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根据李曾子小朋友2013.8、9月份的出勤情况，退学费2125元，餐费225元，共计2350元，用于抵扣餐费（2013.11.1-2014.2.28），剩余750元，作为备用金，已退。</t>
        </r>
      </text>
    </comment>
    <comment ref="C298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2013.11.1入园，原缴费期间（2013.9.1-2014.2.28）学费2500*6=15000元，
变更为（2013.11.1-2014.2.28），学费2500*4=10000元，剩余5000元，用于抵扣一次性费用1200元，杂费600元，餐费1600元（2013.11.1-2014.2.28），剩余1600元，作为备用金，2013.11.29备用金用于抵扣班车费1200元（2013.12.1-2014.2.28），剩余400元，作为备用金，已退。</t>
        </r>
      </text>
    </comment>
    <comment ref="C301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根据2013.9、10、11、2014.1、2月份的出清情况，退学费5375元，退餐费880元，共计6225元，用于抵扣2014.3月份学费5000元，餐费400元，杂费480元，剩余375元，作为备用金，未退。2014.3月应退餐费45元，备用金共计420元，未退。
扣除0.78%的手续费3.3元，剩余416.7元，未退。
2014.4.1备用金已退。</t>
        </r>
      </text>
    </comment>
    <comment ref="C303" authorId="2">
      <text>
        <r>
          <rPr>
            <b/>
            <sz val="9"/>
            <color indexed="81"/>
            <rFont val="宋体"/>
            <family val="3"/>
            <charset val="134"/>
          </rPr>
          <t>zhaoys:</t>
        </r>
        <r>
          <rPr>
            <sz val="9"/>
            <color indexed="81"/>
            <rFont val="宋体"/>
            <family val="3"/>
            <charset val="134"/>
          </rPr>
          <t xml:space="preserve">
郭羽曈小朋友原交费28200元，现变更为2014.5.1-2014.8.31，应交18800元，剩余9400元，作为备用金，未退。现变更为2014.9.1-2015.2.28，应交学费30000元，当时优惠1800元，即28200元，无备用金。</t>
        </r>
      </text>
    </comment>
    <comment ref="C304" authorId="2">
      <text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b/>
            <sz val="9"/>
            <color indexed="10"/>
            <rFont val="宋体"/>
            <family val="3"/>
            <charset val="134"/>
          </rPr>
          <t>餐费300元/月</t>
        </r>
      </text>
    </comment>
  </commentList>
</comments>
</file>

<file path=xl/sharedStrings.xml><?xml version="1.0" encoding="utf-8"?>
<sst xmlns="http://schemas.openxmlformats.org/spreadsheetml/2006/main" count="3653" uniqueCount="1693">
  <si>
    <t>赵浩名</t>
    <phoneticPr fontId="14" type="noConversion"/>
  </si>
  <si>
    <t>刘思源</t>
    <phoneticPr fontId="14" type="noConversion"/>
  </si>
  <si>
    <t>英语绘本</t>
    <phoneticPr fontId="14" type="noConversion"/>
  </si>
  <si>
    <t>2013.11.1-2014.2.28</t>
    <phoneticPr fontId="14" type="noConversion"/>
  </si>
  <si>
    <t>张雨晨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</si>
  <si>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014.3.6</t>
    </r>
    <r>
      <rPr>
        <sz val="11"/>
        <color indexed="8"/>
        <rFont val="宋体"/>
        <family val="3"/>
        <charset val="134"/>
      </rPr>
      <t/>
    </r>
  </si>
  <si>
    <t>孙俊安</t>
    <phoneticPr fontId="14" type="noConversion"/>
  </si>
  <si>
    <t>王晓菡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</si>
  <si>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014.3.6</t>
    </r>
    <phoneticPr fontId="14" type="noConversion"/>
  </si>
  <si>
    <t>韩东昊</t>
    <phoneticPr fontId="14" type="noConversion"/>
  </si>
  <si>
    <t>李轼</t>
    <phoneticPr fontId="14" type="noConversion"/>
  </si>
  <si>
    <t>周乐芃</t>
    <phoneticPr fontId="14" type="noConversion"/>
  </si>
  <si>
    <t>黄若媛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</si>
  <si>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014.3.18</t>
    </r>
    <phoneticPr fontId="14" type="noConversion"/>
  </si>
  <si>
    <t>万欣沂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</si>
  <si>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014.3.18</t>
    </r>
    <phoneticPr fontId="14" type="noConversion"/>
  </si>
  <si>
    <t>贠楚怀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</si>
  <si>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014.2.20</t>
    </r>
    <phoneticPr fontId="14" type="noConversion"/>
  </si>
  <si>
    <t>肖云泰</t>
    <phoneticPr fontId="14" type="noConversion"/>
  </si>
  <si>
    <t>ZXS</t>
    <phoneticPr fontId="14" type="noConversion"/>
  </si>
  <si>
    <t>孟熙然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</si>
  <si>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012.10.9</t>
    </r>
    <r>
      <rPr>
        <sz val="11"/>
        <color indexed="8"/>
        <rFont val="宋体"/>
        <family val="3"/>
        <charset val="134"/>
      </rPr>
      <t/>
    </r>
  </si>
  <si>
    <t>王浩宇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</si>
  <si>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012.10.10</t>
    </r>
  </si>
  <si>
    <t>高健赫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</si>
  <si>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012.10.16</t>
    </r>
    <phoneticPr fontId="14" type="noConversion"/>
  </si>
  <si>
    <t>谢佳翊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</si>
  <si>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012.10.19</t>
    </r>
    <phoneticPr fontId="14" type="noConversion"/>
  </si>
  <si>
    <t>俞悦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</si>
  <si>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012.10.23</t>
    </r>
    <phoneticPr fontId="14" type="noConversion"/>
  </si>
  <si>
    <t>朱宸睿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</si>
  <si>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012.10.31</t>
    </r>
    <phoneticPr fontId="14" type="noConversion"/>
  </si>
  <si>
    <t>序号</t>
    <phoneticPr fontId="14" type="noConversion"/>
  </si>
  <si>
    <t>状态</t>
    <phoneticPr fontId="14" type="noConversion"/>
  </si>
  <si>
    <t>姓名</t>
    <phoneticPr fontId="14" type="noConversion"/>
  </si>
  <si>
    <t>王馨仪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</si>
  <si>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013.11.14</t>
    </r>
    <phoneticPr fontId="14" type="noConversion"/>
  </si>
  <si>
    <t>张耀</t>
    <phoneticPr fontId="22" type="noConversion"/>
  </si>
  <si>
    <t>刘羲雨</t>
    <phoneticPr fontId="14" type="noConversion"/>
  </si>
  <si>
    <t>董玹</t>
    <phoneticPr fontId="14" type="noConversion"/>
  </si>
  <si>
    <t>梁思聪</t>
    <phoneticPr fontId="14" type="noConversion"/>
  </si>
  <si>
    <t>吴佳申</t>
    <phoneticPr fontId="14" type="noConversion"/>
  </si>
  <si>
    <t>格尔雅丹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</si>
  <si>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014.2.25</t>
    </r>
    <phoneticPr fontId="14" type="noConversion"/>
  </si>
  <si>
    <t>杨铂宁</t>
    <phoneticPr fontId="14" type="noConversion"/>
  </si>
  <si>
    <t>王艺霖</t>
    <phoneticPr fontId="14" type="noConversion"/>
  </si>
  <si>
    <t>赵周易</t>
    <phoneticPr fontId="14" type="noConversion"/>
  </si>
  <si>
    <t>邓佳禾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</si>
  <si>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013.12.1</t>
    </r>
    <phoneticPr fontId="14" type="noConversion"/>
  </si>
  <si>
    <t>尹子健</t>
    <phoneticPr fontId="14" type="noConversion"/>
  </si>
  <si>
    <t>丁若然</t>
    <phoneticPr fontId="14" type="noConversion"/>
  </si>
  <si>
    <t>杨颜泽</t>
    <phoneticPr fontId="14" type="noConversion"/>
  </si>
  <si>
    <t>于涵磊</t>
    <phoneticPr fontId="14" type="noConversion"/>
  </si>
  <si>
    <t>莫沉</t>
    <phoneticPr fontId="14" type="noConversion"/>
  </si>
  <si>
    <t>衣宇嘉</t>
    <phoneticPr fontId="14" type="noConversion"/>
  </si>
  <si>
    <t>章梓钊</t>
    <phoneticPr fontId="14" type="noConversion"/>
  </si>
  <si>
    <t>高圣钧</t>
    <phoneticPr fontId="14" type="noConversion"/>
  </si>
  <si>
    <t>张奕涵</t>
    <phoneticPr fontId="14" type="noConversion"/>
  </si>
  <si>
    <t>康木子</t>
    <phoneticPr fontId="14" type="noConversion"/>
  </si>
  <si>
    <t>朱凯齐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</si>
  <si>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013.12.24</t>
    </r>
    <phoneticPr fontId="14" type="noConversion"/>
  </si>
  <si>
    <t>刘孙扬</t>
    <phoneticPr fontId="14" type="noConversion"/>
  </si>
  <si>
    <t>任泽蓬</t>
    <phoneticPr fontId="14" type="noConversion"/>
  </si>
  <si>
    <t>董行之</t>
    <phoneticPr fontId="14" type="noConversion"/>
  </si>
  <si>
    <t>TFS</t>
    <phoneticPr fontId="14" type="noConversion"/>
  </si>
  <si>
    <t>2013.12.1-2014.2.28</t>
    <phoneticPr fontId="14" type="noConversion"/>
  </si>
  <si>
    <t>李宣潼</t>
    <phoneticPr fontId="14" type="noConversion"/>
  </si>
  <si>
    <t>董晋</t>
    <phoneticPr fontId="14" type="noConversion"/>
  </si>
  <si>
    <t>唐势坤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</si>
  <si>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014.3.11</t>
    </r>
    <phoneticPr fontId="14" type="noConversion"/>
  </si>
  <si>
    <t>卢韵泽</t>
    <phoneticPr fontId="14" type="noConversion"/>
  </si>
  <si>
    <t>范如玥</t>
    <phoneticPr fontId="14" type="noConversion"/>
  </si>
  <si>
    <t>刘凭瑞</t>
    <phoneticPr fontId="14" type="noConversion"/>
  </si>
  <si>
    <t>饶静远</t>
    <phoneticPr fontId="14" type="noConversion"/>
  </si>
  <si>
    <t>2013.3.1-2014.8.31</t>
    <phoneticPr fontId="14" type="noConversion"/>
  </si>
  <si>
    <t>郗雅妍</t>
    <phoneticPr fontId="14" type="noConversion"/>
  </si>
  <si>
    <t>高健赫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</si>
  <si>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014.2.21</t>
    </r>
    <phoneticPr fontId="14" type="noConversion"/>
  </si>
  <si>
    <t>赵心澈</t>
    <phoneticPr fontId="14" type="noConversion"/>
  </si>
  <si>
    <t>朱雨晨</t>
    <phoneticPr fontId="14" type="noConversion"/>
  </si>
  <si>
    <t>2013.2.23</t>
    <phoneticPr fontId="14" type="noConversion"/>
  </si>
  <si>
    <t>2013.5.27/2013.6.24/2013.8.20/2013.12.12/2013.12.25/2014.2.28</t>
    <phoneticPr fontId="14" type="noConversion"/>
  </si>
  <si>
    <t>2013.5.28-2014.2.28</t>
    <phoneticPr fontId="14" type="noConversion"/>
  </si>
  <si>
    <t>孙毅鸣</t>
    <phoneticPr fontId="14" type="noConversion"/>
  </si>
  <si>
    <t>2014.2.28</t>
    <phoneticPr fontId="14" type="noConversion"/>
  </si>
  <si>
    <t>赵子歌</t>
    <phoneticPr fontId="14" type="noConversion"/>
  </si>
  <si>
    <t>梁逸峰</t>
    <phoneticPr fontId="14" type="noConversion"/>
  </si>
  <si>
    <t>2015.3.1-2015.8.31</t>
    <phoneticPr fontId="14" type="noConversion"/>
  </si>
  <si>
    <t>李梓瑄</t>
    <phoneticPr fontId="14" type="noConversion"/>
  </si>
  <si>
    <t>2014.9.1-2015.2.28</t>
    <phoneticPr fontId="14" type="noConversion"/>
  </si>
  <si>
    <t>张泽彬</t>
    <phoneticPr fontId="14" type="noConversion"/>
  </si>
  <si>
    <t>2012-4-9/2012.8.23/2013.2.25</t>
    <phoneticPr fontId="14" type="noConversion"/>
  </si>
  <si>
    <t>2012.4.10-2013.8.31</t>
    <phoneticPr fontId="14" type="noConversion"/>
  </si>
  <si>
    <t>孙墨涵</t>
    <phoneticPr fontId="14" type="noConversion"/>
  </si>
  <si>
    <t>亲子课</t>
    <phoneticPr fontId="14" type="noConversion"/>
  </si>
  <si>
    <t>YBS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</si>
  <si>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013.2.25</t>
    </r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</si>
  <si>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013.3.2-2013.5.18</t>
    </r>
    <phoneticPr fontId="14" type="noConversion"/>
  </si>
  <si>
    <t>余静涵</t>
    <phoneticPr fontId="14" type="noConversion"/>
  </si>
  <si>
    <t>高圣钧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</si>
  <si>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013.10.24</t>
    </r>
    <phoneticPr fontId="14" type="noConversion"/>
  </si>
  <si>
    <r>
      <rPr>
        <b/>
        <sz val="11"/>
        <color indexed="8"/>
        <rFont val="宋体"/>
        <family val="3"/>
        <charset val="134"/>
      </rPr>
      <t>学费收入</t>
    </r>
    <phoneticPr fontId="14" type="noConversion"/>
  </si>
  <si>
    <t>慕容青蓝</t>
    <phoneticPr fontId="14" type="noConversion"/>
  </si>
  <si>
    <t>高湲媛</t>
    <phoneticPr fontId="14" type="noConversion"/>
  </si>
  <si>
    <t>卢一硕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</si>
  <si>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014.2.24</t>
    </r>
    <r>
      <rPr>
        <sz val="11"/>
        <color indexed="8"/>
        <rFont val="宋体"/>
        <family val="3"/>
        <charset val="134"/>
      </rPr>
      <t>/2014.3.4</t>
    </r>
    <phoneticPr fontId="14" type="noConversion"/>
  </si>
  <si>
    <t>刘若水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</si>
  <si>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014.3.5</t>
    </r>
    <phoneticPr fontId="14" type="noConversion"/>
  </si>
  <si>
    <t>2012.11.22/2013.3.8/2013.5.7/2013.6.28/2013.9.10/2013.12.3/2014.3.5</t>
    <phoneticPr fontId="14" type="noConversion"/>
  </si>
  <si>
    <t>2013.3.1-2013.6.30/2013.9.1-2013.12.31/2014.3.1-2014.8.31</t>
    <phoneticPr fontId="14" type="noConversion"/>
  </si>
  <si>
    <t>2013.3.1-2013.6.30/2013.9.1-2013.12.31/2014.3.1-2014.5.31</t>
    <phoneticPr fontId="14" type="noConversion"/>
  </si>
  <si>
    <t>2012-2-27/2013.8.28/2013.10.10/2013.10.16/2013.10.17/2013.11.21/2013.12.30/2014.3.5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</si>
  <si>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014.3.5</t>
    </r>
    <phoneticPr fontId="14" type="noConversion"/>
  </si>
  <si>
    <t>2013.9.1-2014.2.28</t>
    <phoneticPr fontId="14" type="noConversion"/>
  </si>
  <si>
    <t>杨晴珺</t>
    <phoneticPr fontId="14" type="noConversion"/>
  </si>
  <si>
    <t>2012.9.1-2014.8.31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</si>
  <si>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014.3.4</t>
    </r>
    <r>
      <rPr>
        <sz val="11"/>
        <color indexed="8"/>
        <rFont val="宋体"/>
        <family val="3"/>
        <charset val="134"/>
      </rPr>
      <t/>
    </r>
  </si>
  <si>
    <t>苏洁</t>
    <phoneticPr fontId="14" type="noConversion"/>
  </si>
  <si>
    <t>沈佳璐</t>
    <phoneticPr fontId="14" type="noConversion"/>
  </si>
  <si>
    <t>周毅鸿</t>
    <phoneticPr fontId="14" type="noConversion"/>
  </si>
  <si>
    <t>王晓菡</t>
    <phoneticPr fontId="14" type="noConversion"/>
  </si>
  <si>
    <t>邓佳禾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</si>
  <si>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013.3.1</t>
    </r>
    <phoneticPr fontId="14" type="noConversion"/>
  </si>
  <si>
    <t>杨永鑫</t>
    <phoneticPr fontId="14" type="noConversion"/>
  </si>
  <si>
    <t>梁亭岳</t>
    <phoneticPr fontId="14" type="noConversion"/>
  </si>
  <si>
    <t>齐乐怡</t>
    <phoneticPr fontId="14" type="noConversion"/>
  </si>
  <si>
    <t>周紫魁</t>
    <phoneticPr fontId="14" type="noConversion"/>
  </si>
  <si>
    <t>趣味美术材料费</t>
    <phoneticPr fontId="14" type="noConversion"/>
  </si>
  <si>
    <t>梁思聪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</si>
  <si>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013.3.18</t>
    </r>
    <phoneticPr fontId="14" type="noConversion"/>
  </si>
  <si>
    <t>刘思源</t>
    <phoneticPr fontId="14" type="noConversion"/>
  </si>
  <si>
    <t>康木子</t>
    <phoneticPr fontId="14" type="noConversion"/>
  </si>
  <si>
    <t>张铭源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</si>
  <si>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013.3.18</t>
    </r>
    <phoneticPr fontId="14" type="noConversion"/>
  </si>
  <si>
    <t>张梓涵</t>
    <phoneticPr fontId="14" type="noConversion"/>
  </si>
  <si>
    <t>谢佳翊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</si>
  <si>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013.3.19</t>
    </r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</si>
  <si>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013.3.19</t>
    </r>
    <phoneticPr fontId="14" type="noConversion"/>
  </si>
  <si>
    <t>吴佳申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</si>
  <si>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013.3.19</t>
    </r>
    <phoneticPr fontId="14" type="noConversion"/>
  </si>
  <si>
    <t>口才训练</t>
    <phoneticPr fontId="14" type="noConversion"/>
  </si>
  <si>
    <t>泥塑材料费</t>
    <phoneticPr fontId="14" type="noConversion"/>
  </si>
  <si>
    <t>王馨雯</t>
    <phoneticPr fontId="14" type="noConversion"/>
  </si>
  <si>
    <t>陈博延</t>
    <phoneticPr fontId="14" type="noConversion"/>
  </si>
  <si>
    <t>唐势坤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</si>
  <si>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013.3.12</t>
    </r>
    <r>
      <rPr>
        <sz val="11"/>
        <color indexed="8"/>
        <rFont val="宋体"/>
        <family val="3"/>
        <charset val="134"/>
      </rPr>
      <t>/2013.3.20</t>
    </r>
    <phoneticPr fontId="14" type="noConversion"/>
  </si>
  <si>
    <t>张雨晨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</si>
  <si>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013.3.20</t>
    </r>
    <phoneticPr fontId="14" type="noConversion"/>
  </si>
  <si>
    <t>衣宇嘉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</si>
  <si>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013.3.20</t>
    </r>
    <phoneticPr fontId="14" type="noConversion"/>
  </si>
  <si>
    <t>朱凯齐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</si>
  <si>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013.3.21</t>
    </r>
    <phoneticPr fontId="14" type="noConversion"/>
  </si>
  <si>
    <t>王馨仪</t>
    <phoneticPr fontId="14" type="noConversion"/>
  </si>
  <si>
    <t>苑馨月</t>
    <phoneticPr fontId="14" type="noConversion"/>
  </si>
  <si>
    <t>肖云泰</t>
    <phoneticPr fontId="14" type="noConversion"/>
  </si>
  <si>
    <t>朱宸睿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</si>
  <si>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013.3.21</t>
    </r>
    <phoneticPr fontId="14" type="noConversion"/>
  </si>
  <si>
    <t>舒哲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</si>
  <si>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013.3.21</t>
    </r>
    <phoneticPr fontId="14" type="noConversion"/>
  </si>
  <si>
    <t>王晓涵</t>
    <phoneticPr fontId="14" type="noConversion"/>
  </si>
  <si>
    <t>杨颜泽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</si>
  <si>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013.3.22</t>
    </r>
    <r>
      <rPr>
        <sz val="11"/>
        <color indexed="8"/>
        <rFont val="宋体"/>
        <family val="3"/>
        <charset val="134"/>
      </rPr>
      <t/>
    </r>
  </si>
  <si>
    <t>李轼</t>
    <phoneticPr fontId="14" type="noConversion"/>
  </si>
  <si>
    <t>孙俊安</t>
    <phoneticPr fontId="14" type="noConversion"/>
  </si>
  <si>
    <t>高健赫</t>
    <phoneticPr fontId="14" type="noConversion"/>
  </si>
  <si>
    <t>杨铂宁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</si>
  <si>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013.3.22</t>
    </r>
    <phoneticPr fontId="14" type="noConversion"/>
  </si>
  <si>
    <t>饶静远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</si>
  <si>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013.3.25</t>
    </r>
    <phoneticPr fontId="14" type="noConversion"/>
  </si>
  <si>
    <t>张耀</t>
    <phoneticPr fontId="14" type="noConversion"/>
  </si>
  <si>
    <t>徐一铭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</si>
  <si>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013.3.25</t>
    </r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</si>
  <si>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013.3.25</t>
    </r>
    <r>
      <rPr>
        <sz val="11"/>
        <color indexed="8"/>
        <rFont val="宋体"/>
        <family val="3"/>
        <charset val="134"/>
      </rPr>
      <t>/2013.3.26</t>
    </r>
    <phoneticPr fontId="14" type="noConversion"/>
  </si>
  <si>
    <t>张芷兰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</si>
  <si>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013.3.27</t>
    </r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</si>
  <si>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</t>
    </r>
    <r>
      <rPr>
        <sz val="11"/>
        <color indexed="8"/>
        <rFont val="宋体"/>
        <family val="3"/>
        <charset val="134"/>
      </rPr>
      <t>7</t>
    </r>
    <phoneticPr fontId="14" type="noConversion"/>
  </si>
  <si>
    <t>尹子健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</si>
  <si>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013.3.28</t>
    </r>
    <phoneticPr fontId="14" type="noConversion"/>
  </si>
  <si>
    <t>李雨燕</t>
    <phoneticPr fontId="14" type="noConversion"/>
  </si>
  <si>
    <t>李语慧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</si>
  <si>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014.3.11</t>
    </r>
    <r>
      <rPr>
        <sz val="11"/>
        <color indexed="8"/>
        <rFont val="宋体"/>
        <family val="3"/>
        <charset val="134"/>
      </rPr>
      <t/>
    </r>
  </si>
  <si>
    <r>
      <t>2</t>
    </r>
    <r>
      <rPr>
        <sz val="11"/>
        <color indexed="8"/>
        <rFont val="宋体"/>
        <family val="3"/>
        <charset val="134"/>
      </rPr>
      <t>013.3.22</t>
    </r>
    <r>
      <rPr>
        <sz val="11"/>
        <color indexed="8"/>
        <rFont val="宋体"/>
        <family val="3"/>
        <charset val="134"/>
      </rPr>
      <t>/2013.3.28</t>
    </r>
    <phoneticPr fontId="14" type="noConversion"/>
  </si>
  <si>
    <t>李语慧</t>
    <phoneticPr fontId="14" type="noConversion"/>
  </si>
  <si>
    <t>钟艺宝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</si>
  <si>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013.3.21</t>
    </r>
    <r>
      <rPr>
        <sz val="11"/>
        <color indexed="8"/>
        <rFont val="宋体"/>
        <family val="3"/>
        <charset val="134"/>
      </rPr>
      <t>/2013.3.28</t>
    </r>
    <phoneticPr fontId="14" type="noConversion"/>
  </si>
  <si>
    <t>张奕涵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</si>
  <si>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013.3.29</t>
    </r>
    <r>
      <rPr>
        <sz val="11"/>
        <color indexed="8"/>
        <rFont val="宋体"/>
        <family val="3"/>
        <charset val="134"/>
      </rPr>
      <t/>
    </r>
  </si>
  <si>
    <t>郭静好</t>
    <phoneticPr fontId="14" type="noConversion"/>
  </si>
  <si>
    <t>格尔雅丹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</si>
  <si>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013.4.2</t>
    </r>
    <phoneticPr fontId="14" type="noConversion"/>
  </si>
  <si>
    <t>王浩宇</t>
    <phoneticPr fontId="14" type="noConversion"/>
  </si>
  <si>
    <t>周乐芃</t>
    <phoneticPr fontId="14" type="noConversion"/>
  </si>
  <si>
    <t>赵周易</t>
    <phoneticPr fontId="14" type="noConversion"/>
  </si>
  <si>
    <t>沈佳璐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</si>
  <si>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014.1.16</t>
    </r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</si>
  <si>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013.4.3</t>
    </r>
    <phoneticPr fontId="14" type="noConversion"/>
  </si>
  <si>
    <t>王紫乾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</si>
  <si>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013.4.10</t>
    </r>
    <phoneticPr fontId="14" type="noConversion"/>
  </si>
  <si>
    <t>于涵磊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</si>
  <si>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013.4.17</t>
    </r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</si>
  <si>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013.4.19</t>
    </r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</si>
  <si>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013.4.23</t>
    </r>
    <phoneticPr fontId="14" type="noConversion"/>
  </si>
  <si>
    <t>张恩铜</t>
    <phoneticPr fontId="14" type="noConversion"/>
  </si>
  <si>
    <t>2013.5.2-2014.2.28</t>
    <phoneticPr fontId="14" type="noConversion"/>
  </si>
  <si>
    <t>郭恺怡</t>
    <phoneticPr fontId="14" type="noConversion"/>
  </si>
  <si>
    <t>胡闻野</t>
    <phoneticPr fontId="14" type="noConversion"/>
  </si>
  <si>
    <t>李曾子</t>
    <phoneticPr fontId="14" type="noConversion"/>
  </si>
  <si>
    <t>马睿</t>
    <phoneticPr fontId="14" type="noConversion"/>
  </si>
  <si>
    <t>杨方妤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</si>
  <si>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014.2.25</t>
    </r>
    <phoneticPr fontId="14" type="noConversion"/>
  </si>
  <si>
    <t>小小厨师</t>
    <phoneticPr fontId="14" type="noConversion"/>
  </si>
  <si>
    <t>小小厨师材料费</t>
    <phoneticPr fontId="14" type="noConversion"/>
  </si>
  <si>
    <t>朱宣同</t>
    <phoneticPr fontId="14" type="noConversion"/>
  </si>
  <si>
    <t>赵玄烨</t>
    <phoneticPr fontId="14" type="noConversion"/>
  </si>
  <si>
    <t>张越宁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</si>
  <si>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014.3.3</t>
    </r>
    <phoneticPr fontId="14" type="noConversion"/>
  </si>
  <si>
    <t>郭启涵</t>
    <phoneticPr fontId="14" type="noConversion"/>
  </si>
  <si>
    <t>何瑞希</t>
    <phoneticPr fontId="14" type="noConversion"/>
  </si>
  <si>
    <t>王婧晞</t>
    <phoneticPr fontId="14" type="noConversion"/>
  </si>
  <si>
    <t>2013.12.9</t>
    <phoneticPr fontId="14" type="noConversion"/>
  </si>
  <si>
    <t>2014.10</t>
  </si>
  <si>
    <t>2014.11</t>
  </si>
  <si>
    <t>2014.12</t>
  </si>
  <si>
    <t>赵周易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</si>
  <si>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013.5.14</t>
    </r>
    <phoneticPr fontId="14" type="noConversion"/>
  </si>
  <si>
    <t>范梓泓</t>
    <phoneticPr fontId="14" type="noConversion"/>
  </si>
  <si>
    <t>谢佳翊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</si>
  <si>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013.5.20</t>
    </r>
    <phoneticPr fontId="14" type="noConversion"/>
  </si>
  <si>
    <t>石悦湫</t>
    <phoneticPr fontId="14" type="noConversion"/>
  </si>
  <si>
    <t>2013.5.23</t>
    <phoneticPr fontId="14" type="noConversion"/>
  </si>
  <si>
    <t>郭羽曈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</si>
  <si>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013.5.23</t>
    </r>
    <phoneticPr fontId="14" type="noConversion"/>
  </si>
  <si>
    <t>王晓菡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</si>
  <si>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013.5.24</t>
    </r>
    <phoneticPr fontId="14" type="noConversion"/>
  </si>
  <si>
    <t>王歧</t>
    <phoneticPr fontId="14" type="noConversion"/>
  </si>
  <si>
    <t>王子帆</t>
    <phoneticPr fontId="14" type="noConversion"/>
  </si>
  <si>
    <t>王一宸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</si>
  <si>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014.2.14</t>
    </r>
    <phoneticPr fontId="14" type="noConversion"/>
  </si>
  <si>
    <t>王馨仪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</si>
  <si>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013.5.30</t>
    </r>
    <phoneticPr fontId="14" type="noConversion"/>
  </si>
  <si>
    <t>合计</t>
    <phoneticPr fontId="14" type="noConversion"/>
  </si>
  <si>
    <t>总计</t>
    <phoneticPr fontId="14" type="noConversion"/>
  </si>
  <si>
    <t>朱宸睿</t>
    <phoneticPr fontId="14" type="noConversion"/>
  </si>
  <si>
    <t>高健赫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</si>
  <si>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014.3.17</t>
    </r>
    <r>
      <rPr>
        <sz val="11"/>
        <color indexed="8"/>
        <rFont val="宋体"/>
        <family val="3"/>
        <charset val="134"/>
      </rPr>
      <t>/2014.3.18</t>
    </r>
    <phoneticPr fontId="14" type="noConversion"/>
  </si>
  <si>
    <t>张新怡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</si>
  <si>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013.5.31</t>
    </r>
    <phoneticPr fontId="14" type="noConversion"/>
  </si>
  <si>
    <t>楼思铭</t>
    <phoneticPr fontId="14" type="noConversion"/>
  </si>
  <si>
    <t>李依霖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</si>
  <si>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013.9.5</t>
    </r>
    <r>
      <rPr>
        <sz val="11"/>
        <color indexed="8"/>
        <rFont val="宋体"/>
        <family val="3"/>
        <charset val="134"/>
      </rPr>
      <t>/2013.10.30</t>
    </r>
    <phoneticPr fontId="14" type="noConversion"/>
  </si>
  <si>
    <t>张耀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</si>
  <si>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013.6.25</t>
    </r>
    <phoneticPr fontId="14" type="noConversion"/>
  </si>
  <si>
    <t>李方佑</t>
    <phoneticPr fontId="14" type="noConversion"/>
  </si>
  <si>
    <t>2013.7.1-2014.2.28</t>
    <phoneticPr fontId="14" type="noConversion"/>
  </si>
  <si>
    <t>于涵磊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</si>
  <si>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013.7.3</t>
    </r>
    <phoneticPr fontId="14" type="noConversion"/>
  </si>
  <si>
    <t>李思瑶</t>
    <phoneticPr fontId="14" type="noConversion"/>
  </si>
  <si>
    <t>许泽宇</t>
    <phoneticPr fontId="14" type="noConversion"/>
  </si>
  <si>
    <t>王禹童</t>
    <phoneticPr fontId="14" type="noConversion"/>
  </si>
  <si>
    <t>丁若然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</si>
  <si>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013.7.11</t>
    </r>
    <phoneticPr fontId="14" type="noConversion"/>
  </si>
  <si>
    <t>王祉洁</t>
    <phoneticPr fontId="14" type="noConversion"/>
  </si>
  <si>
    <t>王祉诺</t>
    <phoneticPr fontId="14" type="noConversion"/>
  </si>
  <si>
    <t>何奕阳</t>
    <phoneticPr fontId="14" type="noConversion"/>
  </si>
  <si>
    <t>郑思腾</t>
    <phoneticPr fontId="14" type="noConversion"/>
  </si>
  <si>
    <t>谢佳翊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</si>
  <si>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013.7.17</t>
    </r>
    <phoneticPr fontId="14" type="noConversion"/>
  </si>
  <si>
    <t>刘子钧</t>
    <phoneticPr fontId="14" type="noConversion"/>
  </si>
  <si>
    <t>王惠萱</t>
    <phoneticPr fontId="14" type="noConversion"/>
  </si>
  <si>
    <t>2012.9.1-2014.2.28</t>
    <phoneticPr fontId="14" type="noConversion"/>
  </si>
  <si>
    <t>郭恺怡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</si>
  <si>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013.8.1</t>
    </r>
    <phoneticPr fontId="14" type="noConversion"/>
  </si>
  <si>
    <t>王悦熙</t>
    <phoneticPr fontId="14" type="noConversion"/>
  </si>
  <si>
    <t>2013.6.25/2013.8.6/2013.10.30/2013.12.23</t>
    <phoneticPr fontId="14" type="noConversion"/>
  </si>
  <si>
    <t>李泽晨</t>
    <phoneticPr fontId="14" type="noConversion"/>
  </si>
  <si>
    <t>2014.1.10</t>
    <phoneticPr fontId="14" type="noConversion"/>
  </si>
  <si>
    <t>王芷乔</t>
    <phoneticPr fontId="14" type="noConversion"/>
  </si>
  <si>
    <t>谢晓言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</si>
  <si>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013.8.2</t>
    </r>
    <phoneticPr fontId="14" type="noConversion"/>
  </si>
  <si>
    <t>2012.8.1-2014.2.28</t>
    <phoneticPr fontId="14" type="noConversion"/>
  </si>
  <si>
    <t>周家萱</t>
    <phoneticPr fontId="14" type="noConversion"/>
  </si>
  <si>
    <t>梁田雨</t>
    <phoneticPr fontId="14" type="noConversion"/>
  </si>
  <si>
    <t>2013.8.6</t>
    <phoneticPr fontId="14" type="noConversion"/>
  </si>
  <si>
    <r>
      <t>趣味美术（2</t>
    </r>
    <r>
      <rPr>
        <b/>
        <sz val="11"/>
        <color indexed="8"/>
        <rFont val="宋体"/>
        <family val="3"/>
        <charset val="134"/>
      </rPr>
      <t>.5-4）</t>
    </r>
    <phoneticPr fontId="14" type="noConversion"/>
  </si>
  <si>
    <r>
      <t>趣味美术（4</t>
    </r>
    <r>
      <rPr>
        <b/>
        <sz val="11"/>
        <color indexed="8"/>
        <rFont val="宋体"/>
        <family val="3"/>
        <charset val="134"/>
      </rPr>
      <t>-6）</t>
    </r>
    <phoneticPr fontId="14" type="noConversion"/>
  </si>
  <si>
    <r>
      <t>幼儿舞蹈（2</t>
    </r>
    <r>
      <rPr>
        <b/>
        <sz val="11"/>
        <color indexed="8"/>
        <rFont val="宋体"/>
        <family val="3"/>
        <charset val="134"/>
      </rPr>
      <t>.5-4）</t>
    </r>
    <phoneticPr fontId="14" type="noConversion"/>
  </si>
  <si>
    <r>
      <t>泥塑（2</t>
    </r>
    <r>
      <rPr>
        <b/>
        <sz val="11"/>
        <color indexed="8"/>
        <rFont val="宋体"/>
        <family val="3"/>
        <charset val="134"/>
      </rPr>
      <t>.5-4）</t>
    </r>
    <phoneticPr fontId="14" type="noConversion"/>
  </si>
  <si>
    <r>
      <t>泥塑（4</t>
    </r>
    <r>
      <rPr>
        <b/>
        <sz val="11"/>
        <color indexed="8"/>
        <rFont val="宋体"/>
        <family val="3"/>
        <charset val="134"/>
      </rPr>
      <t>-6）</t>
    </r>
    <phoneticPr fontId="14" type="noConversion"/>
  </si>
  <si>
    <r>
      <t>幼儿舞蹈（4</t>
    </r>
    <r>
      <rPr>
        <b/>
        <sz val="11"/>
        <color indexed="8"/>
        <rFont val="宋体"/>
        <family val="3"/>
        <charset val="134"/>
      </rPr>
      <t>-6）</t>
    </r>
    <r>
      <rPr>
        <sz val="11"/>
        <color indexed="8"/>
        <rFont val="宋体"/>
        <family val="3"/>
        <charset val="134"/>
      </rPr>
      <t/>
    </r>
    <phoneticPr fontId="14" type="noConversion"/>
  </si>
  <si>
    <t>孟熙然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</si>
  <si>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014.2.14</t>
    </r>
    <phoneticPr fontId="14" type="noConversion"/>
  </si>
  <si>
    <t>2012.7.15/2012-6-16/2012.7.7/2012.7.28/2012.9.26/2012.10.18/2013.3.22/2013.8.12</t>
    <phoneticPr fontId="14" type="noConversion"/>
  </si>
  <si>
    <t>周隽辉</t>
    <phoneticPr fontId="14" type="noConversion"/>
  </si>
  <si>
    <t>王馨仪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</si>
  <si>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013.8.15</t>
    </r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</si>
  <si>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014.3.4</t>
    </r>
    <phoneticPr fontId="14" type="noConversion"/>
  </si>
  <si>
    <t>田苑茜</t>
    <phoneticPr fontId="14" type="noConversion"/>
  </si>
  <si>
    <t>刘孙扬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</si>
  <si>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014.2.20</t>
    </r>
    <phoneticPr fontId="14" type="noConversion"/>
  </si>
  <si>
    <t>2012.8.31/2013.2.25/2013.4.12/2013.8.15</t>
    <phoneticPr fontId="14" type="noConversion"/>
  </si>
  <si>
    <t>季铄</t>
    <phoneticPr fontId="14" type="noConversion"/>
  </si>
  <si>
    <t>吴岳珩</t>
    <phoneticPr fontId="14" type="noConversion"/>
  </si>
  <si>
    <t>陈卓然</t>
    <phoneticPr fontId="14" type="noConversion"/>
  </si>
  <si>
    <t>2015.3</t>
  </si>
  <si>
    <t>2015.4</t>
  </si>
  <si>
    <t>2015.5</t>
  </si>
  <si>
    <t>2015.6</t>
  </si>
  <si>
    <t>2015.7</t>
  </si>
  <si>
    <t>2015.8</t>
  </si>
  <si>
    <t>2013.2.28/2013.8.21</t>
    <phoneticPr fontId="14" type="noConversion"/>
  </si>
  <si>
    <t>周钰荃</t>
    <phoneticPr fontId="14" type="noConversion"/>
  </si>
  <si>
    <t>2013.9.1-2013.9.30</t>
    <phoneticPr fontId="14" type="noConversion"/>
  </si>
  <si>
    <t>岳笑溦</t>
    <phoneticPr fontId="14" type="noConversion"/>
  </si>
  <si>
    <t>成梓萱</t>
    <phoneticPr fontId="14" type="noConversion"/>
  </si>
  <si>
    <t>2013.10.22</t>
  </si>
  <si>
    <t>李雨瞳</t>
    <phoneticPr fontId="14" type="noConversion"/>
  </si>
  <si>
    <t>陆晟源</t>
    <phoneticPr fontId="14" type="noConversion"/>
  </si>
  <si>
    <t>杨天祎</t>
    <phoneticPr fontId="14" type="noConversion"/>
  </si>
  <si>
    <t>2012-4-23/2012.8.27/2012.9.28/2013.3.5/2013.8.28</t>
    <phoneticPr fontId="14" type="noConversion"/>
  </si>
  <si>
    <t>谭容致</t>
    <phoneticPr fontId="14" type="noConversion"/>
  </si>
  <si>
    <t>2013.8.28</t>
  </si>
  <si>
    <r>
      <t>2</t>
    </r>
    <r>
      <rPr>
        <sz val="11"/>
        <color indexed="8"/>
        <rFont val="宋体"/>
        <family val="3"/>
        <charset val="134"/>
      </rPr>
      <t>013.9.3</t>
    </r>
    <r>
      <rPr>
        <sz val="11"/>
        <color indexed="8"/>
        <rFont val="宋体"/>
        <family val="3"/>
        <charset val="134"/>
      </rPr>
      <t>/2013.10.29</t>
    </r>
    <phoneticPr fontId="14" type="noConversion"/>
  </si>
  <si>
    <t>余若谷</t>
    <phoneticPr fontId="14" type="noConversion"/>
  </si>
  <si>
    <t>2013.9.3</t>
  </si>
  <si>
    <t>梁思聪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</si>
  <si>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014.3.3</t>
    </r>
    <r>
      <rPr>
        <sz val="11"/>
        <color indexed="8"/>
        <rFont val="宋体"/>
        <family val="3"/>
        <charset val="134"/>
      </rPr>
      <t>/2014.3.20</t>
    </r>
    <phoneticPr fontId="14" type="noConversion"/>
  </si>
  <si>
    <t>钟艺宝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</si>
  <si>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013.9.3</t>
    </r>
    <phoneticPr fontId="14" type="noConversion"/>
  </si>
  <si>
    <t>刘思源</t>
    <phoneticPr fontId="14" type="noConversion"/>
  </si>
  <si>
    <t>朱凯齐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</si>
  <si>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013.9.4</t>
    </r>
    <phoneticPr fontId="14" type="noConversion"/>
  </si>
  <si>
    <t>韩东昊</t>
    <phoneticPr fontId="14" type="noConversion"/>
  </si>
  <si>
    <t>衣宇嘉</t>
    <phoneticPr fontId="14" type="noConversion"/>
  </si>
  <si>
    <t>张雨晨</t>
    <phoneticPr fontId="14" type="noConversion"/>
  </si>
  <si>
    <t>姜梓芽</t>
    <phoneticPr fontId="14" type="noConversion"/>
  </si>
  <si>
    <t>吴佳申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</si>
  <si>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013.9.4</t>
    </r>
    <phoneticPr fontId="14" type="noConversion"/>
  </si>
  <si>
    <t>小提琴</t>
    <phoneticPr fontId="14" type="noConversion"/>
  </si>
  <si>
    <t>岳笑溦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</si>
  <si>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014.3.17</t>
    </r>
    <phoneticPr fontId="14" type="noConversion"/>
  </si>
  <si>
    <t>朱宸睿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</si>
  <si>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013.9.4</t>
    </r>
    <phoneticPr fontId="14" type="noConversion"/>
  </si>
  <si>
    <t>轮滑（中级）</t>
    <phoneticPr fontId="14" type="noConversion"/>
  </si>
  <si>
    <t>周家萱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</si>
  <si>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013.9.5</t>
    </r>
    <phoneticPr fontId="14" type="noConversion"/>
  </si>
  <si>
    <t>岳笑溦</t>
    <phoneticPr fontId="14" type="noConversion"/>
  </si>
  <si>
    <t>何瑞希</t>
    <phoneticPr fontId="14" type="noConversion"/>
  </si>
  <si>
    <t>祁佳稷</t>
    <phoneticPr fontId="14" type="noConversion"/>
  </si>
  <si>
    <t>贾皓丞</t>
    <phoneticPr fontId="14" type="noConversion"/>
  </si>
  <si>
    <t>陆晟源</t>
    <phoneticPr fontId="14" type="noConversion"/>
  </si>
  <si>
    <t>王浩宇</t>
    <phoneticPr fontId="14" type="noConversion"/>
  </si>
  <si>
    <t>2013.9.1-2014.3.31</t>
    <phoneticPr fontId="14" type="noConversion"/>
  </si>
  <si>
    <t>邱子桐</t>
    <phoneticPr fontId="14" type="noConversion"/>
  </si>
  <si>
    <t>2013.10.21</t>
    <phoneticPr fontId="14" type="noConversion"/>
  </si>
  <si>
    <t>王晓菡</t>
    <phoneticPr fontId="14" type="noConversion"/>
  </si>
  <si>
    <t>杨铂宁</t>
    <phoneticPr fontId="14" type="noConversion"/>
  </si>
  <si>
    <t>周乐芃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</si>
  <si>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013.9.6</t>
    </r>
    <phoneticPr fontId="14" type="noConversion"/>
  </si>
  <si>
    <t>张芷兰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</si>
  <si>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013.9.5</t>
    </r>
    <r>
      <rPr>
        <sz val="11"/>
        <color indexed="8"/>
        <rFont val="宋体"/>
        <family val="3"/>
        <charset val="134"/>
      </rPr>
      <t>/2013.9.6</t>
    </r>
    <phoneticPr fontId="14" type="noConversion"/>
  </si>
  <si>
    <t>110105201110286120</t>
    <phoneticPr fontId="14" type="noConversion"/>
  </si>
  <si>
    <t>张耀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</si>
  <si>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013.9.6</t>
    </r>
    <phoneticPr fontId="14" type="noConversion"/>
  </si>
  <si>
    <t>2013.8.24/2013.8.28</t>
    <phoneticPr fontId="14" type="noConversion"/>
  </si>
  <si>
    <t>成梓萱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</si>
  <si>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013.9.9</t>
    </r>
    <phoneticPr fontId="14" type="noConversion"/>
  </si>
  <si>
    <t>尹子健</t>
    <phoneticPr fontId="14" type="noConversion"/>
  </si>
  <si>
    <t>田昊宸</t>
    <phoneticPr fontId="14" type="noConversion"/>
  </si>
  <si>
    <t>迟煜轩</t>
    <phoneticPr fontId="14" type="noConversion"/>
  </si>
  <si>
    <t>王奕天</t>
    <phoneticPr fontId="14" type="noConversion"/>
  </si>
  <si>
    <t>王馨雯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</si>
  <si>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013.9.4</t>
    </r>
    <r>
      <rPr>
        <sz val="11"/>
        <color indexed="8"/>
        <rFont val="宋体"/>
        <family val="3"/>
        <charset val="134"/>
      </rPr>
      <t>/2013.9.9</t>
    </r>
    <phoneticPr fontId="14" type="noConversion"/>
  </si>
  <si>
    <t>格尔雅丹</t>
    <phoneticPr fontId="14" type="noConversion"/>
  </si>
  <si>
    <t>郑天寿</t>
    <phoneticPr fontId="14" type="noConversion"/>
  </si>
  <si>
    <t>韦祖诚</t>
    <phoneticPr fontId="14" type="noConversion"/>
  </si>
  <si>
    <t>鄢方然</t>
    <phoneticPr fontId="14" type="noConversion"/>
  </si>
  <si>
    <t>齐恩宁</t>
    <phoneticPr fontId="14" type="noConversion"/>
  </si>
  <si>
    <t>张恩铜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</si>
  <si>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014.3.10</t>
    </r>
    <phoneticPr fontId="14" type="noConversion"/>
  </si>
  <si>
    <t>莫沉</t>
    <phoneticPr fontId="14" type="noConversion"/>
  </si>
  <si>
    <t>杨沐雨佳</t>
    <phoneticPr fontId="14" type="noConversion"/>
  </si>
  <si>
    <t>赵康齐</t>
    <phoneticPr fontId="14" type="noConversion"/>
  </si>
  <si>
    <t>2014.3.25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</si>
  <si>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013.9.9</t>
    </r>
    <phoneticPr fontId="14" type="noConversion"/>
  </si>
  <si>
    <t>饶静远</t>
    <phoneticPr fontId="14" type="noConversion"/>
  </si>
  <si>
    <t>李语慧</t>
    <phoneticPr fontId="14" type="noConversion"/>
  </si>
  <si>
    <t>李雨燕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</si>
  <si>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013.9.10</t>
    </r>
    <phoneticPr fontId="14" type="noConversion"/>
  </si>
  <si>
    <t>杨艾洲</t>
    <phoneticPr fontId="14" type="noConversion"/>
  </si>
  <si>
    <t>周家萱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</si>
  <si>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014.3.3</t>
    </r>
    <phoneticPr fontId="14" type="noConversion"/>
  </si>
  <si>
    <t>张奕彤</t>
    <phoneticPr fontId="14" type="noConversion"/>
  </si>
  <si>
    <t>宋莉宏</t>
    <phoneticPr fontId="14" type="noConversion"/>
  </si>
  <si>
    <t>2014.3.4</t>
    <phoneticPr fontId="14" type="noConversion"/>
  </si>
  <si>
    <t>任泽蓬</t>
    <phoneticPr fontId="14" type="noConversion"/>
  </si>
  <si>
    <t>衣宇嘉</t>
    <phoneticPr fontId="14" type="noConversion"/>
  </si>
  <si>
    <t>吕祁</t>
    <phoneticPr fontId="14" type="noConversion"/>
  </si>
  <si>
    <t>梁亭岳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</si>
  <si>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014.2.27</t>
    </r>
    <phoneticPr fontId="14" type="noConversion"/>
  </si>
  <si>
    <t>张恩铜</t>
    <phoneticPr fontId="14" type="noConversion"/>
  </si>
  <si>
    <t>张铭源</t>
    <phoneticPr fontId="14" type="noConversion"/>
  </si>
  <si>
    <t>邓佳禾</t>
    <phoneticPr fontId="14" type="noConversion"/>
  </si>
  <si>
    <t>高健赫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</si>
  <si>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013.9.11</t>
    </r>
    <phoneticPr fontId="14" type="noConversion"/>
  </si>
  <si>
    <t>2013.7.10/2013.10.08/2013.10.16/2013.11.19/2013.12.19/2014.1.17</t>
    <phoneticPr fontId="14" type="noConversion"/>
  </si>
  <si>
    <t>2013.9.10-2014.2.28</t>
    <phoneticPr fontId="14" type="noConversion"/>
  </si>
  <si>
    <t>邢雨薇</t>
    <phoneticPr fontId="14" type="noConversion"/>
  </si>
  <si>
    <t>高圣钧</t>
    <phoneticPr fontId="14" type="noConversion"/>
  </si>
  <si>
    <t>王馨仪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</si>
  <si>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014.2.10</t>
    </r>
    <phoneticPr fontId="14" type="noConversion"/>
  </si>
  <si>
    <t>2013.2.28/2013.3.4/2013.3.6/2013.8.22/2013.12.13</t>
    <phoneticPr fontId="14" type="noConversion"/>
  </si>
  <si>
    <t>2013.3.7-2013.11.30</t>
    <phoneticPr fontId="14" type="noConversion"/>
  </si>
  <si>
    <t>2013.8.22/2013.12.13</t>
    <phoneticPr fontId="14" type="noConversion"/>
  </si>
  <si>
    <t>合计</t>
    <phoneticPr fontId="14" type="noConversion"/>
  </si>
  <si>
    <t>程子涵</t>
    <phoneticPr fontId="14" type="noConversion"/>
  </si>
  <si>
    <t>2013.9.1-2013.11.30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</si>
  <si>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013.9.9</t>
    </r>
    <r>
      <rPr>
        <sz val="11"/>
        <color indexed="8"/>
        <rFont val="宋体"/>
        <family val="3"/>
        <charset val="134"/>
      </rPr>
      <t>/2013.9.11</t>
    </r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</si>
  <si>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014.3.3</t>
    </r>
    <r>
      <rPr>
        <sz val="11"/>
        <color indexed="8"/>
        <rFont val="宋体"/>
        <family val="3"/>
        <charset val="134"/>
      </rPr>
      <t>/2014.3.17</t>
    </r>
    <phoneticPr fontId="14" type="noConversion"/>
  </si>
  <si>
    <t>陈逸轩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</si>
  <si>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013.9.16</t>
    </r>
    <phoneticPr fontId="14" type="noConversion"/>
  </si>
  <si>
    <t>孙慕诚</t>
    <phoneticPr fontId="14" type="noConversion"/>
  </si>
  <si>
    <t>花羽</t>
    <phoneticPr fontId="14" type="noConversion"/>
  </si>
  <si>
    <t>邱子桐</t>
    <phoneticPr fontId="14" type="noConversion"/>
  </si>
  <si>
    <t>2013.5.17/2013.9.17</t>
    <phoneticPr fontId="14" type="noConversion"/>
  </si>
  <si>
    <t>沈佳璐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</si>
  <si>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013.9.17</t>
    </r>
    <phoneticPr fontId="14" type="noConversion"/>
  </si>
  <si>
    <t>2013.9.17</t>
  </si>
  <si>
    <t>2013.4.28/2013.5.24/2013.6.18/2013.8.14</t>
    <phoneticPr fontId="14" type="noConversion"/>
  </si>
  <si>
    <t>2013.10.18</t>
  </si>
  <si>
    <r>
      <t>2</t>
    </r>
    <r>
      <rPr>
        <sz val="11"/>
        <color indexed="8"/>
        <rFont val="宋体"/>
        <family val="3"/>
        <charset val="134"/>
      </rPr>
      <t>013.12.13</t>
    </r>
    <phoneticPr fontId="14" type="noConversion"/>
  </si>
  <si>
    <t>2012.7.18-2013.9.18</t>
    <phoneticPr fontId="14" type="noConversion"/>
  </si>
  <si>
    <t>2012.8.1-2013.9.18</t>
    <phoneticPr fontId="14" type="noConversion"/>
  </si>
  <si>
    <t>2012.5.1-2013.9.16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</si>
  <si>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014.1.7</t>
    </r>
    <r>
      <rPr>
        <sz val="11"/>
        <color indexed="8"/>
        <rFont val="宋体"/>
        <family val="3"/>
        <charset val="134"/>
      </rPr>
      <t>/2014.3.7</t>
    </r>
    <phoneticPr fontId="14" type="noConversion"/>
  </si>
  <si>
    <t>2012.9.1-2013.9.16</t>
    <phoneticPr fontId="14" type="noConversion"/>
  </si>
  <si>
    <t>于涵磊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</si>
  <si>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013.9.27</t>
    </r>
    <phoneticPr fontId="14" type="noConversion"/>
  </si>
  <si>
    <t>2013.10.17</t>
  </si>
  <si>
    <t>陈博延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</si>
  <si>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013.10.11</t>
    </r>
    <phoneticPr fontId="14" type="noConversion"/>
  </si>
  <si>
    <t>陆晟源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</si>
  <si>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013.12.13</t>
    </r>
    <phoneticPr fontId="14" type="noConversion"/>
  </si>
  <si>
    <t>聂琳晓</t>
    <phoneticPr fontId="14" type="noConversion"/>
  </si>
  <si>
    <t>李依霖</t>
    <phoneticPr fontId="14" type="noConversion"/>
  </si>
  <si>
    <t>2013.10.15</t>
  </si>
  <si>
    <t>丁若宁</t>
    <phoneticPr fontId="14" type="noConversion"/>
  </si>
  <si>
    <t>陈玥含</t>
    <phoneticPr fontId="14" type="noConversion"/>
  </si>
  <si>
    <t>王馨仪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</si>
  <si>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013.10.10</t>
    </r>
    <phoneticPr fontId="14" type="noConversion"/>
  </si>
  <si>
    <t>2013.10.28</t>
    <phoneticPr fontId="14" type="noConversion"/>
  </si>
  <si>
    <t>张泽彬</t>
    <phoneticPr fontId="14" type="noConversion"/>
  </si>
  <si>
    <r>
      <rPr>
        <b/>
        <sz val="10"/>
        <color indexed="8"/>
        <rFont val="宋体"/>
        <family val="3"/>
        <charset val="134"/>
      </rPr>
      <t>序号</t>
    </r>
    <phoneticPr fontId="14" type="noConversion"/>
  </si>
  <si>
    <r>
      <rPr>
        <b/>
        <sz val="10"/>
        <color indexed="8"/>
        <rFont val="宋体"/>
        <family val="3"/>
        <charset val="134"/>
      </rPr>
      <t>状态</t>
    </r>
    <phoneticPr fontId="14" type="noConversion"/>
  </si>
  <si>
    <r>
      <rPr>
        <b/>
        <sz val="10"/>
        <color indexed="8"/>
        <rFont val="宋体"/>
        <family val="3"/>
        <charset val="134"/>
      </rPr>
      <t>姓名</t>
    </r>
    <phoneticPr fontId="14" type="noConversion"/>
  </si>
  <si>
    <r>
      <rPr>
        <b/>
        <sz val="10"/>
        <color indexed="8"/>
        <rFont val="宋体"/>
        <family val="3"/>
        <charset val="134"/>
      </rPr>
      <t>杂费收入</t>
    </r>
    <phoneticPr fontId="14" type="noConversion"/>
  </si>
  <si>
    <r>
      <rPr>
        <b/>
        <sz val="10"/>
        <color indexed="8"/>
        <rFont val="宋体"/>
        <family val="3"/>
        <charset val="134"/>
      </rPr>
      <t>缴纳餐费起止日期</t>
    </r>
    <phoneticPr fontId="14" type="noConversion"/>
  </si>
  <si>
    <r>
      <rPr>
        <b/>
        <sz val="10"/>
        <color indexed="8"/>
        <rFont val="宋体"/>
        <family val="3"/>
        <charset val="134"/>
      </rPr>
      <t>缴纳餐费金额</t>
    </r>
    <phoneticPr fontId="14" type="noConversion"/>
  </si>
  <si>
    <r>
      <rPr>
        <b/>
        <sz val="10"/>
        <color indexed="8"/>
        <rFont val="宋体"/>
        <family val="3"/>
        <charset val="134"/>
      </rPr>
      <t>缴纳校车费金额</t>
    </r>
    <phoneticPr fontId="14" type="noConversion"/>
  </si>
  <si>
    <r>
      <rPr>
        <b/>
        <sz val="10"/>
        <color indexed="8"/>
        <rFont val="宋体"/>
        <family val="3"/>
        <charset val="134"/>
      </rPr>
      <t>合计金额</t>
    </r>
    <phoneticPr fontId="14" type="noConversion"/>
  </si>
  <si>
    <r>
      <rPr>
        <b/>
        <sz val="10"/>
        <color indexed="8"/>
        <rFont val="宋体"/>
        <family val="3"/>
        <charset val="134"/>
      </rPr>
      <t>明细合计</t>
    </r>
    <phoneticPr fontId="14" type="noConversion"/>
  </si>
  <si>
    <r>
      <rPr>
        <b/>
        <sz val="10"/>
        <color indexed="8"/>
        <rFont val="宋体"/>
        <family val="3"/>
        <charset val="134"/>
      </rPr>
      <t>对比</t>
    </r>
    <phoneticPr fontId="14" type="noConversion"/>
  </si>
  <si>
    <r>
      <rPr>
        <b/>
        <sz val="10"/>
        <color indexed="8"/>
        <rFont val="宋体"/>
        <family val="3"/>
        <charset val="134"/>
      </rPr>
      <t>合计</t>
    </r>
    <phoneticPr fontId="14" type="noConversion"/>
  </si>
  <si>
    <t>2011.9.5-2012.8.31</t>
  </si>
  <si>
    <t>沈子渊</t>
    <phoneticPr fontId="14" type="noConversion"/>
  </si>
  <si>
    <t>2014.4.8</t>
    <phoneticPr fontId="14" type="noConversion"/>
  </si>
  <si>
    <t>沈子涵</t>
    <phoneticPr fontId="14" type="noConversion"/>
  </si>
  <si>
    <t>2015.9.1-2016.2.28</t>
    <phoneticPr fontId="14" type="noConversion"/>
  </si>
  <si>
    <t>李欣蕾</t>
  </si>
  <si>
    <t>于浩阳</t>
  </si>
  <si>
    <t>舒哲</t>
  </si>
  <si>
    <t>王晓菡</t>
    <phoneticPr fontId="22" type="noConversion"/>
  </si>
  <si>
    <t>陈佑民</t>
    <phoneticPr fontId="22" type="noConversion"/>
  </si>
  <si>
    <r>
      <rPr>
        <sz val="10"/>
        <color indexed="8"/>
        <rFont val="宋体"/>
        <family val="3"/>
        <charset val="134"/>
      </rPr>
      <t>徐浚贺</t>
    </r>
  </si>
  <si>
    <t>ZXS</t>
    <phoneticPr fontId="14" type="noConversion"/>
  </si>
  <si>
    <t>陈子衿</t>
  </si>
  <si>
    <t>聂艺菲</t>
  </si>
  <si>
    <t>夏毅丰</t>
  </si>
  <si>
    <t>王紫乾</t>
  </si>
  <si>
    <t>陈界然</t>
  </si>
  <si>
    <t>张梓涵</t>
  </si>
  <si>
    <t>韩泊丞</t>
  </si>
  <si>
    <t>王铭</t>
  </si>
  <si>
    <t>李浩铭</t>
  </si>
  <si>
    <t>李轼</t>
  </si>
  <si>
    <t>张羽泽</t>
  </si>
  <si>
    <t>毕成</t>
  </si>
  <si>
    <t>2012.3.15-2012.8</t>
  </si>
  <si>
    <t>韩禹畅</t>
  </si>
  <si>
    <t>谭启宸</t>
  </si>
  <si>
    <t>周紫魁</t>
  </si>
  <si>
    <t>徐一铭</t>
  </si>
  <si>
    <t>梁思聪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</si>
  <si>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014.2.24</t>
    </r>
    <phoneticPr fontId="14" type="noConversion"/>
  </si>
  <si>
    <t>陈星宇</t>
    <phoneticPr fontId="14" type="noConversion"/>
  </si>
  <si>
    <t>占果</t>
  </si>
  <si>
    <t>王玉儿</t>
  </si>
  <si>
    <t>杨澜钰</t>
  </si>
  <si>
    <t>陈家禾</t>
  </si>
  <si>
    <t>赵江语</t>
  </si>
  <si>
    <t>尹昊霏</t>
  </si>
  <si>
    <t>王浩宇</t>
  </si>
  <si>
    <r>
      <t>2</t>
    </r>
    <r>
      <rPr>
        <sz val="11"/>
        <color indexed="8"/>
        <rFont val="宋体"/>
        <family val="3"/>
        <charset val="134"/>
      </rPr>
      <t>014.2.26</t>
    </r>
    <r>
      <rPr>
        <sz val="11"/>
        <color indexed="8"/>
        <rFont val="宋体"/>
        <family val="3"/>
        <charset val="134"/>
      </rPr>
      <t/>
    </r>
  </si>
  <si>
    <t>姜梓芽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</si>
  <si>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014.2.26</t>
    </r>
    <phoneticPr fontId="14" type="noConversion"/>
  </si>
  <si>
    <t>吴泽远</t>
    <phoneticPr fontId="14" type="noConversion"/>
  </si>
  <si>
    <t>何泳君</t>
    <phoneticPr fontId="14" type="noConversion"/>
  </si>
  <si>
    <t>任奕霏</t>
    <phoneticPr fontId="14" type="noConversion"/>
  </si>
  <si>
    <r>
      <rPr>
        <b/>
        <sz val="11"/>
        <color indexed="8"/>
        <rFont val="宋体"/>
        <family val="3"/>
        <charset val="134"/>
      </rPr>
      <t>项目</t>
    </r>
    <phoneticPr fontId="14" type="noConversion"/>
  </si>
  <si>
    <r>
      <rPr>
        <b/>
        <sz val="11"/>
        <color indexed="8"/>
        <rFont val="宋体"/>
        <family val="3"/>
        <charset val="134"/>
      </rPr>
      <t>在校生人数</t>
    </r>
    <phoneticPr fontId="14" type="noConversion"/>
  </si>
  <si>
    <r>
      <rPr>
        <b/>
        <sz val="11"/>
        <color indexed="8"/>
        <rFont val="宋体"/>
        <family val="3"/>
        <charset val="134"/>
      </rPr>
      <t>餐费收入</t>
    </r>
    <phoneticPr fontId="14" type="noConversion"/>
  </si>
  <si>
    <r>
      <rPr>
        <b/>
        <sz val="11"/>
        <color indexed="8"/>
        <rFont val="宋体"/>
        <family val="3"/>
        <charset val="134"/>
      </rPr>
      <t>校车费收入</t>
    </r>
    <phoneticPr fontId="14" type="noConversion"/>
  </si>
  <si>
    <r>
      <rPr>
        <b/>
        <sz val="11"/>
        <color indexed="8"/>
        <rFont val="宋体"/>
        <family val="3"/>
        <charset val="134"/>
      </rPr>
      <t>合计</t>
    </r>
    <phoneticPr fontId="14" type="noConversion"/>
  </si>
  <si>
    <t>在校生</t>
    <phoneticPr fontId="14" type="noConversion"/>
  </si>
  <si>
    <t>离园生</t>
    <phoneticPr fontId="14" type="noConversion"/>
  </si>
  <si>
    <t>YBS</t>
    <phoneticPr fontId="14" type="noConversion"/>
  </si>
  <si>
    <t>预备生</t>
    <phoneticPr fontId="14" type="noConversion"/>
  </si>
  <si>
    <t>吴佳申</t>
  </si>
  <si>
    <t>陆泓铭</t>
    <phoneticPr fontId="22" type="noConversion"/>
  </si>
  <si>
    <t>杂费</t>
    <phoneticPr fontId="14" type="noConversion"/>
  </si>
  <si>
    <r>
      <t>2011-2012</t>
    </r>
    <r>
      <rPr>
        <b/>
        <sz val="11"/>
        <color indexed="8"/>
        <rFont val="宋体"/>
        <family val="3"/>
        <charset val="134"/>
      </rPr>
      <t>学年度</t>
    </r>
    <phoneticPr fontId="14" type="noConversion"/>
  </si>
  <si>
    <t>预备生</t>
    <phoneticPr fontId="14" type="noConversion"/>
  </si>
  <si>
    <t>孔祥俊</t>
  </si>
  <si>
    <t>刘子行</t>
  </si>
  <si>
    <t>李浩明</t>
  </si>
  <si>
    <t>王堇轩</t>
  </si>
  <si>
    <t>熊艺翔</t>
  </si>
  <si>
    <t>汤舜皓</t>
  </si>
  <si>
    <t>杨子淇</t>
  </si>
  <si>
    <t>闫婧宸</t>
  </si>
  <si>
    <t>成雨馨</t>
  </si>
  <si>
    <t>奚一馨</t>
  </si>
  <si>
    <t>张恪珣</t>
  </si>
  <si>
    <t>周若琳</t>
  </si>
  <si>
    <t>刘逸涵</t>
  </si>
  <si>
    <t>李运赫</t>
  </si>
  <si>
    <t>赵子禾</t>
  </si>
  <si>
    <t>胡雯琪</t>
  </si>
  <si>
    <t>江雨泽</t>
  </si>
  <si>
    <t>刘子京</t>
  </si>
  <si>
    <t>杨睿泽</t>
  </si>
  <si>
    <r>
      <rPr>
        <b/>
        <sz val="10"/>
        <color indexed="8"/>
        <rFont val="宋体"/>
        <family val="3"/>
        <charset val="134"/>
      </rPr>
      <t>缴纳校车费起止日期</t>
    </r>
    <phoneticPr fontId="14" type="noConversion"/>
  </si>
  <si>
    <t>刘思源</t>
  </si>
  <si>
    <r>
      <rPr>
        <b/>
        <sz val="10"/>
        <color indexed="8"/>
        <rFont val="宋体"/>
        <family val="3"/>
        <charset val="134"/>
      </rPr>
      <t>缴纳学费起止日期</t>
    </r>
    <phoneticPr fontId="14" type="noConversion"/>
  </si>
  <si>
    <r>
      <rPr>
        <b/>
        <sz val="10"/>
        <color indexed="8"/>
        <rFont val="宋体"/>
        <family val="3"/>
        <charset val="134"/>
      </rPr>
      <t>缴纳学费金额</t>
    </r>
    <phoneticPr fontId="14" type="noConversion"/>
  </si>
  <si>
    <t>冯驰予</t>
    <phoneticPr fontId="14" type="noConversion"/>
  </si>
  <si>
    <t>2014.2.13</t>
    <phoneticPr fontId="14" type="noConversion"/>
  </si>
  <si>
    <t>退费生</t>
    <phoneticPr fontId="14" type="noConversion"/>
  </si>
  <si>
    <t>2012.9.1-2013.8.31</t>
    <phoneticPr fontId="14" type="noConversion"/>
  </si>
  <si>
    <t>李雨瞳</t>
    <phoneticPr fontId="14" type="noConversion"/>
  </si>
  <si>
    <t>杨晶迪</t>
    <phoneticPr fontId="14" type="noConversion"/>
  </si>
  <si>
    <t>徐晨睿</t>
    <phoneticPr fontId="14" type="noConversion"/>
  </si>
  <si>
    <t>2013.12.30</t>
    <phoneticPr fontId="14" type="noConversion"/>
  </si>
  <si>
    <t>田昊宸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</si>
  <si>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014.3.19</t>
    </r>
    <phoneticPr fontId="14" type="noConversion"/>
  </si>
  <si>
    <t>周子溪</t>
    <phoneticPr fontId="14" type="noConversion"/>
  </si>
  <si>
    <t>杨铂宁</t>
    <phoneticPr fontId="14" type="noConversion"/>
  </si>
  <si>
    <t>赵浩名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</si>
  <si>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014.3.6</t>
    </r>
    <phoneticPr fontId="14" type="noConversion"/>
  </si>
  <si>
    <t>合计</t>
    <phoneticPr fontId="14" type="noConversion"/>
  </si>
  <si>
    <t>张晖平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</si>
  <si>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013.11.4</t>
    </r>
    <phoneticPr fontId="14" type="noConversion"/>
  </si>
  <si>
    <t>莫沉</t>
    <phoneticPr fontId="14" type="noConversion"/>
  </si>
  <si>
    <t>陈逸轩</t>
  </si>
  <si>
    <t>代铮</t>
    <phoneticPr fontId="14" type="noConversion"/>
  </si>
  <si>
    <t>2012.8.1-2013.2.28</t>
    <phoneticPr fontId="14" type="noConversion"/>
  </si>
  <si>
    <t>缴费时间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</si>
  <si>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014.2.21/2014.3.12</t>
    </r>
    <r>
      <rPr>
        <sz val="11"/>
        <color indexed="8"/>
        <rFont val="宋体"/>
        <family val="3"/>
        <charset val="134"/>
      </rPr>
      <t>/2014.3.26</t>
    </r>
    <phoneticPr fontId="14" type="noConversion"/>
  </si>
  <si>
    <t>期间</t>
    <phoneticPr fontId="14" type="noConversion"/>
  </si>
  <si>
    <t>孙煜豪</t>
    <phoneticPr fontId="22" type="noConversion"/>
  </si>
  <si>
    <t>朱凯齐</t>
    <phoneticPr fontId="22" type="noConversion"/>
  </si>
  <si>
    <t>李轼</t>
    <phoneticPr fontId="22" type="noConversion"/>
  </si>
  <si>
    <t>陈逸轩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</si>
  <si>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014.2.24</t>
    </r>
    <phoneticPr fontId="14" type="noConversion"/>
  </si>
  <si>
    <t>祁佳稷</t>
    <phoneticPr fontId="14" type="noConversion"/>
  </si>
  <si>
    <t>马梓洋</t>
    <phoneticPr fontId="14" type="noConversion"/>
  </si>
  <si>
    <t>2012.7.11/2012.8.9</t>
    <phoneticPr fontId="14" type="noConversion"/>
  </si>
  <si>
    <t>高健赫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</si>
  <si>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013.11.15</t>
    </r>
    <phoneticPr fontId="14" type="noConversion"/>
  </si>
  <si>
    <t>马钰涵</t>
    <phoneticPr fontId="14" type="noConversion"/>
  </si>
  <si>
    <t>缴费期限</t>
    <phoneticPr fontId="14" type="noConversion"/>
  </si>
  <si>
    <t>2012.8.31</t>
  </si>
  <si>
    <t>ZXS</t>
    <phoneticPr fontId="14" type="noConversion"/>
  </si>
  <si>
    <t>2012.8-2012.8.31</t>
    <phoneticPr fontId="14" type="noConversion"/>
  </si>
  <si>
    <t>王煜炜</t>
    <phoneticPr fontId="14" type="noConversion"/>
  </si>
  <si>
    <t>马亦君</t>
    <phoneticPr fontId="14" type="noConversion"/>
  </si>
  <si>
    <t>轮滑课</t>
    <phoneticPr fontId="14" type="noConversion"/>
  </si>
  <si>
    <t>跆拳道</t>
    <phoneticPr fontId="14" type="noConversion"/>
  </si>
  <si>
    <t>钢琴课</t>
    <phoneticPr fontId="14" type="noConversion"/>
  </si>
  <si>
    <t>郭昊洋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</si>
  <si>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014.3.11</t>
    </r>
    <phoneticPr fontId="14" type="noConversion"/>
  </si>
  <si>
    <t>崔菁洋</t>
    <phoneticPr fontId="14" type="noConversion"/>
  </si>
  <si>
    <t>黄金熙</t>
    <phoneticPr fontId="14" type="noConversion"/>
  </si>
  <si>
    <t>2013.12.12</t>
    <phoneticPr fontId="14" type="noConversion"/>
  </si>
  <si>
    <t>何瑞希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</si>
  <si>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014.3.11</t>
    </r>
    <phoneticPr fontId="14" type="noConversion"/>
  </si>
  <si>
    <t>衣宇嘉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</si>
  <si>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014.3.21</t>
    </r>
    <phoneticPr fontId="14" type="noConversion"/>
  </si>
  <si>
    <t>饶静远</t>
    <phoneticPr fontId="14" type="noConversion"/>
  </si>
  <si>
    <t>2012.8.1/2012.10.8/2012.10.23/2012.11.26/2012.12.26</t>
    <phoneticPr fontId="14" type="noConversion"/>
  </si>
  <si>
    <t>2012.8-2013.1.31</t>
    <phoneticPr fontId="14" type="noConversion"/>
  </si>
  <si>
    <t>乔泊为</t>
    <phoneticPr fontId="14" type="noConversion"/>
  </si>
  <si>
    <t>田苑茜</t>
    <phoneticPr fontId="14" type="noConversion"/>
  </si>
  <si>
    <t>余静涵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</si>
  <si>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014.4.9</t>
    </r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</si>
  <si>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014.2.19/2014.4.10</t>
    </r>
    <phoneticPr fontId="14" type="noConversion"/>
  </si>
  <si>
    <t>杨沐晓晰</t>
    <phoneticPr fontId="14" type="noConversion"/>
  </si>
  <si>
    <t xml:space="preserve">110114201110123146      </t>
    <phoneticPr fontId="14" type="noConversion"/>
  </si>
  <si>
    <t>邓远烁</t>
    <phoneticPr fontId="14" type="noConversion"/>
  </si>
  <si>
    <t>秦熠璨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</si>
  <si>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014.3.6/2014.4.17</t>
    </r>
    <phoneticPr fontId="14" type="noConversion"/>
  </si>
  <si>
    <t>洪蕴佳</t>
    <phoneticPr fontId="14" type="noConversion"/>
  </si>
  <si>
    <t>2014.4.21</t>
    <phoneticPr fontId="14" type="noConversion"/>
  </si>
  <si>
    <t>2014.7.1-2014.8.31</t>
    <phoneticPr fontId="14" type="noConversion"/>
  </si>
  <si>
    <t>姚昕雅</t>
    <phoneticPr fontId="14" type="noConversion"/>
  </si>
  <si>
    <t>王馨雯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</si>
  <si>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014.4.23</t>
    </r>
    <phoneticPr fontId="14" type="noConversion"/>
  </si>
  <si>
    <t>王祉诺</t>
    <phoneticPr fontId="14" type="noConversion"/>
  </si>
  <si>
    <t>王祉洁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</si>
  <si>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014.4.23</t>
    </r>
    <phoneticPr fontId="14" type="noConversion"/>
  </si>
  <si>
    <t>于涵磊</t>
    <phoneticPr fontId="14" type="noConversion"/>
  </si>
  <si>
    <t>商翊如</t>
    <phoneticPr fontId="14" type="noConversion"/>
  </si>
  <si>
    <t>卢义涵</t>
    <phoneticPr fontId="14" type="noConversion"/>
  </si>
  <si>
    <t>张博熙</t>
    <phoneticPr fontId="14" type="noConversion"/>
  </si>
  <si>
    <t>高睿瞳</t>
    <phoneticPr fontId="14" type="noConversion"/>
  </si>
  <si>
    <t>2014.4.29</t>
    <phoneticPr fontId="14" type="noConversion"/>
  </si>
  <si>
    <t>高楚涵</t>
    <phoneticPr fontId="14" type="noConversion"/>
  </si>
  <si>
    <t>李亦桐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</si>
  <si>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014.2.20/2014.4.29</t>
    </r>
    <phoneticPr fontId="14" type="noConversion"/>
  </si>
  <si>
    <t>崔宇涵</t>
    <phoneticPr fontId="14" type="noConversion"/>
  </si>
  <si>
    <t>2014.4.30</t>
    <phoneticPr fontId="14" type="noConversion"/>
  </si>
  <si>
    <t>YBS</t>
    <phoneticPr fontId="14" type="noConversion"/>
  </si>
  <si>
    <t>沈子渊</t>
    <phoneticPr fontId="14" type="noConversion"/>
  </si>
  <si>
    <t>2014.5.4</t>
    <phoneticPr fontId="14" type="noConversion"/>
  </si>
  <si>
    <t>2014.9.1-2014.12.31</t>
    <phoneticPr fontId="14" type="noConversion"/>
  </si>
  <si>
    <t>邓峻泽</t>
    <phoneticPr fontId="14" type="noConversion"/>
  </si>
  <si>
    <t>2014.5.5</t>
    <phoneticPr fontId="14" type="noConversion"/>
  </si>
  <si>
    <t>陈木子</t>
    <phoneticPr fontId="14" type="noConversion"/>
  </si>
  <si>
    <t>2015.5.1-2015.8.31</t>
    <phoneticPr fontId="14" type="noConversion"/>
  </si>
  <si>
    <t>曹馨心</t>
    <phoneticPr fontId="14" type="noConversion"/>
  </si>
  <si>
    <t>2014.5.9</t>
    <phoneticPr fontId="14" type="noConversion"/>
  </si>
  <si>
    <t>2014.5.12</t>
    <phoneticPr fontId="14" type="noConversion"/>
  </si>
  <si>
    <t>2014.5.15</t>
    <phoneticPr fontId="1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</si>
  <si>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014.5.15</t>
    </r>
    <phoneticPr fontId="14" type="noConversion"/>
  </si>
  <si>
    <t>张亦彤</t>
    <phoneticPr fontId="14" type="noConversion"/>
  </si>
  <si>
    <t>2014.5.16</t>
    <phoneticPr fontId="14" type="noConversion"/>
  </si>
  <si>
    <t>ZXS</t>
    <phoneticPr fontId="14" type="noConversion"/>
  </si>
  <si>
    <t>杨沐雨佳</t>
    <phoneticPr fontId="14" type="noConversion"/>
  </si>
  <si>
    <t>2014.5.12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</si>
  <si>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014.3.5/2014.5.19</t>
    </r>
    <phoneticPr fontId="14" type="noConversion"/>
  </si>
  <si>
    <t>2014.5.20</t>
    <phoneticPr fontId="14" type="noConversion"/>
  </si>
  <si>
    <t>2014.5.21</t>
    <phoneticPr fontId="14" type="noConversion"/>
  </si>
  <si>
    <t>张凌睿</t>
    <phoneticPr fontId="14" type="noConversion"/>
  </si>
  <si>
    <t>李咏道</t>
    <phoneticPr fontId="14" type="noConversion"/>
  </si>
  <si>
    <t>2014.5.22</t>
    <phoneticPr fontId="14" type="noConversion"/>
  </si>
  <si>
    <t>2014.5.23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</si>
  <si>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013.9.5/2014.3.25/2014.5.23</t>
    </r>
    <phoneticPr fontId="14" type="noConversion"/>
  </si>
  <si>
    <t>2014.5.26</t>
    <phoneticPr fontId="14" type="noConversion"/>
  </si>
  <si>
    <t>刘天澈</t>
    <phoneticPr fontId="14" type="noConversion"/>
  </si>
  <si>
    <t>柯暮铎</t>
    <phoneticPr fontId="14" type="noConversion"/>
  </si>
  <si>
    <t>2014.5.27</t>
    <phoneticPr fontId="14" type="noConversion"/>
  </si>
  <si>
    <t>王子章</t>
    <phoneticPr fontId="14" type="noConversion"/>
  </si>
  <si>
    <t>2014.5.28</t>
    <phoneticPr fontId="14" type="noConversion"/>
  </si>
  <si>
    <t>郑沈子卿</t>
    <phoneticPr fontId="14" type="noConversion"/>
  </si>
  <si>
    <t>李卓雅</t>
    <phoneticPr fontId="14" type="noConversion"/>
  </si>
  <si>
    <t>叶彦博</t>
    <phoneticPr fontId="14" type="noConversion"/>
  </si>
  <si>
    <t>2014.6.3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</si>
  <si>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014.3.14/2014.3.20/2014.6.9</t>
    </r>
    <phoneticPr fontId="14" type="noConversion"/>
  </si>
  <si>
    <t>雷济丞</t>
    <phoneticPr fontId="14" type="noConversion"/>
  </si>
  <si>
    <t>2014.6.10</t>
    <phoneticPr fontId="14" type="noConversion"/>
  </si>
  <si>
    <t>贾紫茜</t>
    <phoneticPr fontId="14" type="noConversion"/>
  </si>
  <si>
    <t>2014.6.11</t>
    <phoneticPr fontId="14" type="noConversion"/>
  </si>
  <si>
    <t>2014.7.1-2015.2.28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</si>
  <si>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014.2.21/2014.6.12</t>
    </r>
    <phoneticPr fontId="14" type="noConversion"/>
  </si>
  <si>
    <t>章雅宁</t>
    <phoneticPr fontId="14" type="noConversion"/>
  </si>
  <si>
    <t>2014.6.12</t>
    <phoneticPr fontId="14" type="noConversion"/>
  </si>
  <si>
    <t>2014.2.13/2014.4.10/2014.6.12</t>
    <phoneticPr fontId="14" type="noConversion"/>
  </si>
  <si>
    <t>2014.9.1</t>
    <phoneticPr fontId="14" type="noConversion"/>
  </si>
  <si>
    <t>2014.10</t>
    <phoneticPr fontId="14" type="noConversion"/>
  </si>
  <si>
    <t>2014.11</t>
    <phoneticPr fontId="14" type="noConversion"/>
  </si>
  <si>
    <t>2014.12</t>
    <phoneticPr fontId="14" type="noConversion"/>
  </si>
  <si>
    <t>2015.1</t>
    <phoneticPr fontId="14" type="noConversion"/>
  </si>
  <si>
    <t>2015.2</t>
    <phoneticPr fontId="14" type="noConversion"/>
  </si>
  <si>
    <t>2015.3</t>
    <phoneticPr fontId="14" type="noConversion"/>
  </si>
  <si>
    <t>2015.4</t>
    <phoneticPr fontId="14" type="noConversion"/>
  </si>
  <si>
    <t>2015.5</t>
    <phoneticPr fontId="14" type="noConversion"/>
  </si>
  <si>
    <t>2015.6</t>
    <phoneticPr fontId="14" type="noConversion"/>
  </si>
  <si>
    <t>2015.7</t>
    <phoneticPr fontId="14" type="noConversion"/>
  </si>
  <si>
    <t>2015.8</t>
    <phoneticPr fontId="14" type="noConversion"/>
  </si>
  <si>
    <t>2015.9</t>
    <phoneticPr fontId="14" type="noConversion"/>
  </si>
  <si>
    <t>2015.10</t>
    <phoneticPr fontId="14" type="noConversion"/>
  </si>
  <si>
    <t>2015.11</t>
  </si>
  <si>
    <t>2015.12</t>
  </si>
  <si>
    <t>2016.1</t>
    <phoneticPr fontId="14" type="noConversion"/>
  </si>
  <si>
    <t>2016.2</t>
  </si>
  <si>
    <t>2016.3</t>
  </si>
  <si>
    <t>2016.4</t>
  </si>
  <si>
    <t>2016.5</t>
  </si>
  <si>
    <t>2016.6</t>
  </si>
  <si>
    <t>2016.7</t>
  </si>
  <si>
    <t>2016.8</t>
  </si>
  <si>
    <t>2016.9</t>
  </si>
  <si>
    <t>2016.10</t>
  </si>
  <si>
    <t>2016.11</t>
  </si>
  <si>
    <t>2016.12</t>
  </si>
  <si>
    <t>2017.1</t>
    <phoneticPr fontId="14" type="noConversion"/>
  </si>
  <si>
    <t>2017.2</t>
  </si>
  <si>
    <t>2017.3</t>
  </si>
  <si>
    <t>2017.4</t>
  </si>
  <si>
    <t>2017.5</t>
  </si>
  <si>
    <t>2017.6</t>
  </si>
  <si>
    <t>2017.7</t>
  </si>
  <si>
    <t>2017.8</t>
  </si>
  <si>
    <t>班级</t>
    <phoneticPr fontId="14" type="noConversion"/>
  </si>
  <si>
    <t>红宝石</t>
    <phoneticPr fontId="14" type="noConversion"/>
  </si>
  <si>
    <t>绿宝石</t>
    <phoneticPr fontId="14" type="noConversion"/>
  </si>
  <si>
    <t>大熊座</t>
    <phoneticPr fontId="14" type="noConversion"/>
  </si>
  <si>
    <t>蓝宝石</t>
    <phoneticPr fontId="14" type="noConversion"/>
  </si>
  <si>
    <t>杂费缴纳日期</t>
    <phoneticPr fontId="14" type="noConversion"/>
  </si>
  <si>
    <t>学费缴纳日期</t>
    <phoneticPr fontId="14" type="noConversion"/>
  </si>
  <si>
    <t>餐费缴纳日期</t>
    <phoneticPr fontId="14" type="noConversion"/>
  </si>
  <si>
    <t>校车费缴纳日期</t>
    <phoneticPr fontId="14" type="noConversion"/>
  </si>
  <si>
    <t>2014.9</t>
    <phoneticPr fontId="14" type="noConversion"/>
  </si>
  <si>
    <t>2015.2</t>
  </si>
  <si>
    <t>2015.9</t>
  </si>
  <si>
    <t>2015.10</t>
  </si>
  <si>
    <r>
      <t>2014.9-2017.8</t>
    </r>
    <r>
      <rPr>
        <b/>
        <sz val="12"/>
        <color indexed="8"/>
        <rFont val="宋体"/>
        <family val="3"/>
        <charset val="134"/>
      </rPr>
      <t>学年度学费收入</t>
    </r>
    <phoneticPr fontId="14" type="noConversion"/>
  </si>
  <si>
    <r>
      <t>2014.9-2017.8</t>
    </r>
    <r>
      <rPr>
        <b/>
        <sz val="12"/>
        <color indexed="8"/>
        <rFont val="宋体"/>
        <family val="3"/>
        <charset val="134"/>
      </rPr>
      <t>学年度餐费收入</t>
    </r>
    <phoneticPr fontId="14" type="noConversion"/>
  </si>
  <si>
    <r>
      <t>2014.9-2016.8</t>
    </r>
    <r>
      <rPr>
        <b/>
        <sz val="12"/>
        <color indexed="8"/>
        <rFont val="宋体"/>
        <family val="3"/>
        <charset val="134"/>
      </rPr>
      <t>学年校车费收入</t>
    </r>
    <phoneticPr fontId="14" type="noConversion"/>
  </si>
  <si>
    <t>徐浚贺</t>
  </si>
  <si>
    <t>北苑幼儿园保险收入情况</t>
    <phoneticPr fontId="46" type="noConversion"/>
  </si>
  <si>
    <t>序号</t>
    <phoneticPr fontId="46" type="noConversion"/>
  </si>
  <si>
    <t>状态</t>
    <phoneticPr fontId="46" type="noConversion"/>
  </si>
  <si>
    <t>班级</t>
    <phoneticPr fontId="46" type="noConversion"/>
  </si>
  <si>
    <t>姓名</t>
    <phoneticPr fontId="46" type="noConversion"/>
  </si>
  <si>
    <t>缴费时间</t>
    <phoneticPr fontId="46" type="noConversion"/>
  </si>
  <si>
    <t>金额</t>
    <phoneticPr fontId="46" type="noConversion"/>
  </si>
  <si>
    <t>保险缴费期限</t>
    <phoneticPr fontId="46" type="noConversion"/>
  </si>
  <si>
    <t>保险期限</t>
    <phoneticPr fontId="46" type="noConversion"/>
  </si>
  <si>
    <t>身份证号</t>
    <phoneticPr fontId="46" type="noConversion"/>
  </si>
  <si>
    <t>TFS</t>
    <phoneticPr fontId="14" type="noConversion"/>
  </si>
  <si>
    <t>任泽蓬</t>
    <phoneticPr fontId="14" type="noConversion"/>
  </si>
  <si>
    <t>2013.10-2014.10</t>
    <phoneticPr fontId="14" type="noConversion"/>
  </si>
  <si>
    <t>2013.10.30-2014.10.29</t>
    <phoneticPr fontId="14" type="noConversion"/>
  </si>
  <si>
    <t>卢韵泽</t>
    <phoneticPr fontId="14" type="noConversion"/>
  </si>
  <si>
    <t>2013.12-2014.12</t>
    <phoneticPr fontId="14" type="noConversion"/>
  </si>
  <si>
    <t>大熊座</t>
    <phoneticPr fontId="46" type="noConversion"/>
  </si>
  <si>
    <t>2012.11.22/2014.5.26</t>
    <phoneticPr fontId="14" type="noConversion"/>
  </si>
  <si>
    <t>饶静远</t>
  </si>
  <si>
    <t>2014.1-2014.12</t>
    <phoneticPr fontId="14" type="noConversion"/>
  </si>
  <si>
    <t>梁亭岳</t>
  </si>
  <si>
    <t>2014.3-2015.3</t>
    <phoneticPr fontId="14" type="noConversion"/>
  </si>
  <si>
    <t>赵浩名</t>
  </si>
  <si>
    <t>余静涵</t>
  </si>
  <si>
    <t>2014.4-2015.4</t>
    <phoneticPr fontId="14" type="noConversion"/>
  </si>
  <si>
    <t>卢一硕</t>
  </si>
  <si>
    <t>2014.3-2015.2</t>
    <phoneticPr fontId="14" type="noConversion"/>
  </si>
  <si>
    <t>杨永鑫</t>
  </si>
  <si>
    <t>2014.3-2015.2</t>
    <phoneticPr fontId="14" type="noConversion"/>
  </si>
  <si>
    <t>2013.1.8/2014.5.16</t>
    <phoneticPr fontId="46" type="noConversion"/>
  </si>
  <si>
    <t>2012.10.9/2013.12.2</t>
    <phoneticPr fontId="14" type="noConversion"/>
  </si>
  <si>
    <t>2012.12.25/2014.5.20</t>
    <phoneticPr fontId="46" type="noConversion"/>
  </si>
  <si>
    <t>2013.1.8/2014.5.21</t>
    <phoneticPr fontId="46" type="noConversion"/>
  </si>
  <si>
    <t>2013.2.26/2014.5.16</t>
    <phoneticPr fontId="46" type="noConversion"/>
  </si>
  <si>
    <t>2013.3.1/2014.5.27</t>
    <phoneticPr fontId="46" type="noConversion"/>
  </si>
  <si>
    <t>2013.3.1/2014.5.26</t>
    <phoneticPr fontId="46" type="noConversion"/>
  </si>
  <si>
    <t>孔雀石</t>
    <phoneticPr fontId="46" type="noConversion"/>
  </si>
  <si>
    <t>蓝宝石</t>
    <phoneticPr fontId="46" type="noConversion"/>
  </si>
  <si>
    <t>齐乐怡</t>
    <phoneticPr fontId="14" type="noConversion"/>
  </si>
  <si>
    <t>2013.3.4</t>
    <phoneticPr fontId="14" type="noConversion"/>
  </si>
  <si>
    <t>2013.3-2014.2</t>
    <phoneticPr fontId="14" type="noConversion"/>
  </si>
  <si>
    <t>过期</t>
    <phoneticPr fontId="46" type="noConversion"/>
  </si>
  <si>
    <t>孔雀石</t>
    <phoneticPr fontId="46" type="noConversion"/>
  </si>
  <si>
    <t>张芷兰</t>
  </si>
  <si>
    <t>李雨燕</t>
  </si>
  <si>
    <t>钟艺宝</t>
  </si>
  <si>
    <t>李语慧</t>
    <phoneticPr fontId="14" type="noConversion"/>
  </si>
  <si>
    <t>张恩铜</t>
  </si>
  <si>
    <t>郭恺怡</t>
  </si>
  <si>
    <t>2013.4.27</t>
  </si>
  <si>
    <t>胡闻野</t>
  </si>
  <si>
    <t>何瑞希</t>
  </si>
  <si>
    <t>2013.5.10</t>
  </si>
  <si>
    <t>王歧</t>
  </si>
  <si>
    <t>2013.5.24</t>
  </si>
  <si>
    <t>王子帆</t>
  </si>
  <si>
    <t>2013.5.27</t>
  </si>
  <si>
    <t>周家萱</t>
  </si>
  <si>
    <t>2013.8.5</t>
    <phoneticPr fontId="14" type="noConversion"/>
  </si>
  <si>
    <t>苏洁</t>
  </si>
  <si>
    <t>2013.8.26</t>
  </si>
  <si>
    <t>陆晟源</t>
  </si>
  <si>
    <t>2013.8.27</t>
  </si>
  <si>
    <t>郑思腾</t>
  </si>
  <si>
    <t>谭容致</t>
  </si>
  <si>
    <t>黄若媛</t>
  </si>
  <si>
    <t>2013.8.30</t>
  </si>
  <si>
    <t>2013.9.2</t>
  </si>
  <si>
    <t>梁思聪</t>
  </si>
  <si>
    <t>2013.9.6</t>
  </si>
  <si>
    <t>董玹</t>
  </si>
  <si>
    <t>张耀</t>
  </si>
  <si>
    <t>2013.9.9</t>
  </si>
  <si>
    <t>高健赫</t>
  </si>
  <si>
    <t>2013.9.11</t>
  </si>
  <si>
    <t>章梓钊</t>
  </si>
  <si>
    <t>朱宸睿</t>
  </si>
  <si>
    <t>孟熙然</t>
  </si>
  <si>
    <t>2013.9.12</t>
  </si>
  <si>
    <t>王馨仪</t>
  </si>
  <si>
    <t>张雨晨</t>
  </si>
  <si>
    <t>2013.9.13</t>
  </si>
  <si>
    <t>康木子</t>
  </si>
  <si>
    <t>丁若然</t>
  </si>
  <si>
    <t>2013.9.16</t>
  </si>
  <si>
    <t>邓佳禾</t>
  </si>
  <si>
    <t>衣宇嘉</t>
  </si>
  <si>
    <t>周乐芃</t>
  </si>
  <si>
    <t>王艺霖</t>
  </si>
  <si>
    <t>2013.9.18</t>
  </si>
  <si>
    <t>赵周易</t>
  </si>
  <si>
    <t>田苑茜</t>
  </si>
  <si>
    <t>杨铂宁</t>
  </si>
  <si>
    <t>高圣钧</t>
  </si>
  <si>
    <t>2013.9.23</t>
  </si>
  <si>
    <t>于涵磊</t>
  </si>
  <si>
    <t>2013.9.27</t>
  </si>
  <si>
    <t>陈佑民</t>
  </si>
  <si>
    <t>2013.10.10</t>
  </si>
  <si>
    <t>莫沉</t>
  </si>
  <si>
    <t>余若谷</t>
  </si>
  <si>
    <t>2013.10.14</t>
  </si>
  <si>
    <t>刘孙扬</t>
  </si>
  <si>
    <t>聂琳晓</t>
  </si>
  <si>
    <t>李依霖</t>
  </si>
  <si>
    <t>王馨雯</t>
  </si>
  <si>
    <t>郑天寿</t>
  </si>
  <si>
    <t>杨天祎</t>
  </si>
  <si>
    <t>董行之</t>
  </si>
  <si>
    <t>2013.10.16</t>
  </si>
  <si>
    <t>刘子钧</t>
  </si>
  <si>
    <t>唐势坤</t>
  </si>
  <si>
    <t>许泽宇</t>
  </si>
  <si>
    <t>姜梓芽</t>
  </si>
  <si>
    <t>张新怡</t>
  </si>
  <si>
    <t>陆泓铭</t>
  </si>
  <si>
    <t>肖云泰</t>
  </si>
  <si>
    <t>代铮</t>
  </si>
  <si>
    <t>邱子桐</t>
  </si>
  <si>
    <t>2013.10.21</t>
  </si>
  <si>
    <t>李雨瞳</t>
  </si>
  <si>
    <t>万欣沂</t>
  </si>
  <si>
    <t>王祉洁</t>
  </si>
  <si>
    <t>王祉诺</t>
  </si>
  <si>
    <t>石悦湫</t>
  </si>
  <si>
    <t>郭静好</t>
  </si>
  <si>
    <t>周隽辉</t>
  </si>
  <si>
    <t>岳笑溦</t>
  </si>
  <si>
    <t>刘若水</t>
  </si>
  <si>
    <t>李思瑶</t>
  </si>
  <si>
    <t>2013.10.24</t>
  </si>
  <si>
    <t>杨颜泽</t>
  </si>
  <si>
    <t>2013.10.28</t>
  </si>
  <si>
    <t>张泽彬</t>
  </si>
  <si>
    <t>格尔雅丹</t>
  </si>
  <si>
    <t>鄢方然</t>
  </si>
  <si>
    <t>2013.11.4</t>
  </si>
  <si>
    <t>吴岳珩</t>
  </si>
  <si>
    <t>2013.12.26</t>
  </si>
  <si>
    <t>赵子歌</t>
  </si>
  <si>
    <t>2014.3.28</t>
  </si>
  <si>
    <t>王奕天</t>
  </si>
  <si>
    <t>2014.4.4</t>
  </si>
  <si>
    <t>陈卓然</t>
  </si>
  <si>
    <t>2014.4.17</t>
  </si>
  <si>
    <t>2014.4-2015.3</t>
    <phoneticPr fontId="14" type="noConversion"/>
  </si>
  <si>
    <t>2014.4.1-2015.3</t>
    <phoneticPr fontId="14" type="noConversion"/>
  </si>
  <si>
    <t>2014.5-2015.4</t>
    <phoneticPr fontId="14" type="noConversion"/>
  </si>
  <si>
    <t>2013.9.1-2014.8.31</t>
    <phoneticPr fontId="14" type="noConversion"/>
  </si>
  <si>
    <t>2013.5.21-2014.5.21</t>
    <phoneticPr fontId="14" type="noConversion"/>
  </si>
  <si>
    <t>2013.11.14-2014.11.13</t>
    <phoneticPr fontId="14" type="noConversion"/>
  </si>
  <si>
    <t>2013.11.14-2014.10.29</t>
    <phoneticPr fontId="14" type="noConversion"/>
  </si>
  <si>
    <t>2013.4.15-2014.4.14</t>
    <phoneticPr fontId="14" type="noConversion"/>
  </si>
  <si>
    <t>2014.4.15-2014.10.29</t>
    <phoneticPr fontId="14" type="noConversion"/>
  </si>
  <si>
    <t>2014.4.19-2014.4.18</t>
    <phoneticPr fontId="14" type="noConversion"/>
  </si>
  <si>
    <t>2014.4.19-2014.10.29</t>
    <phoneticPr fontId="14" type="noConversion"/>
  </si>
  <si>
    <t>月光石</t>
    <phoneticPr fontId="46" type="noConversion"/>
  </si>
  <si>
    <t>秦熠璨</t>
  </si>
  <si>
    <t>2014.4.30</t>
  </si>
  <si>
    <t>杨沐晓晰</t>
  </si>
  <si>
    <t>杨沐雨佳</t>
  </si>
  <si>
    <t>董晋</t>
  </si>
  <si>
    <t>2014.5.4</t>
  </si>
  <si>
    <t>邓峻泽</t>
  </si>
  <si>
    <t>2014.5.5</t>
  </si>
  <si>
    <t>贾皓丞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</si>
  <si>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013.3.21</t>
    </r>
    <phoneticPr fontId="14" type="noConversion"/>
  </si>
  <si>
    <t>高睿瞳</t>
  </si>
  <si>
    <t>2014.4.29</t>
  </si>
  <si>
    <t>2014.5-2014.10.29</t>
    <phoneticPr fontId="14" type="noConversion"/>
  </si>
  <si>
    <t>2014.6-2015.5</t>
    <phoneticPr fontId="14" type="noConversion"/>
  </si>
  <si>
    <t>2014.6-2014.10.29</t>
    <phoneticPr fontId="14" type="noConversion"/>
  </si>
  <si>
    <t>陈博延</t>
    <phoneticPr fontId="46" type="noConversion"/>
  </si>
  <si>
    <t>2014.5.27</t>
    <phoneticPr fontId="46" type="noConversion"/>
  </si>
  <si>
    <t>2014.5-2015.4</t>
    <phoneticPr fontId="46" type="noConversion"/>
  </si>
  <si>
    <t>过期</t>
    <phoneticPr fontId="14" type="noConversion"/>
  </si>
  <si>
    <t xml:space="preserve">110105201106237529   </t>
    <phoneticPr fontId="14" type="noConversion"/>
  </si>
  <si>
    <t xml:space="preserve">210603201103295019   </t>
    <phoneticPr fontId="14" type="noConversion"/>
  </si>
  <si>
    <t xml:space="preserve">J110143936 </t>
    <phoneticPr fontId="14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</si>
  <si>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                  </t>
    </r>
    <phoneticPr fontId="14" type="noConversion"/>
  </si>
  <si>
    <t xml:space="preserve">K02322896            </t>
    <phoneticPr fontId="14" type="noConversion"/>
  </si>
  <si>
    <t xml:space="preserve">11011220091003641X   </t>
    <phoneticPr fontId="14" type="noConversion"/>
  </si>
  <si>
    <t xml:space="preserve">110105201110268117   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</si>
  <si>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 xml:space="preserve">10114201102013815   </t>
    </r>
    <phoneticPr fontId="14" type="noConversion"/>
  </si>
  <si>
    <t>L110100893</t>
  </si>
  <si>
    <t>月光石</t>
    <phoneticPr fontId="14" type="noConversion"/>
  </si>
  <si>
    <t>水晶石</t>
    <phoneticPr fontId="14" type="noConversion"/>
  </si>
  <si>
    <t>孔雀石</t>
    <phoneticPr fontId="14" type="noConversion"/>
  </si>
  <si>
    <t>飞马座</t>
    <phoneticPr fontId="14" type="noConversion"/>
  </si>
  <si>
    <t>飞马座</t>
    <phoneticPr fontId="14" type="noConversion"/>
  </si>
  <si>
    <t>孔雀石</t>
    <phoneticPr fontId="14" type="noConversion"/>
  </si>
  <si>
    <t>橄榄石</t>
    <phoneticPr fontId="14" type="noConversion"/>
  </si>
  <si>
    <t>大熊座</t>
    <phoneticPr fontId="14" type="noConversion"/>
  </si>
  <si>
    <t>橄榄石</t>
    <phoneticPr fontId="14" type="noConversion"/>
  </si>
  <si>
    <t>水晶石</t>
    <phoneticPr fontId="14" type="noConversion"/>
  </si>
  <si>
    <t>蓝宝石</t>
    <phoneticPr fontId="14" type="noConversion"/>
  </si>
  <si>
    <t>绿宝石</t>
    <phoneticPr fontId="14" type="noConversion"/>
  </si>
  <si>
    <t>马睿</t>
  </si>
  <si>
    <t>高湲媛</t>
  </si>
  <si>
    <t>丁若宁</t>
  </si>
  <si>
    <t>陈玥含</t>
  </si>
  <si>
    <t>张越宁</t>
  </si>
  <si>
    <t>朱宣同</t>
  </si>
  <si>
    <t>孙慕诚</t>
  </si>
  <si>
    <t>2014.5-2015.4</t>
    <phoneticPr fontId="14" type="noConversion"/>
  </si>
  <si>
    <t>李宣潼</t>
  </si>
  <si>
    <t>赵玄烨</t>
  </si>
  <si>
    <t>孙墨涵</t>
  </si>
  <si>
    <t>曹馨心</t>
  </si>
  <si>
    <t>迟煜轩</t>
  </si>
  <si>
    <t>何泳君</t>
  </si>
  <si>
    <t>季铄</t>
  </si>
  <si>
    <t>齐恩宁</t>
  </si>
  <si>
    <t>任奕霏</t>
  </si>
  <si>
    <t>韦祖诚</t>
  </si>
  <si>
    <t>吴泽远</t>
  </si>
  <si>
    <t>邢雨薇</t>
  </si>
  <si>
    <t>马亦君</t>
  </si>
  <si>
    <t>陈星宇</t>
  </si>
  <si>
    <t>邓远烁</t>
  </si>
  <si>
    <t>卢义涵</t>
  </si>
  <si>
    <t>商翊如</t>
  </si>
  <si>
    <t>张博熙</t>
  </si>
  <si>
    <t>2014.5-2014.10.29</t>
    <phoneticPr fontId="14" type="noConversion"/>
  </si>
  <si>
    <t>2014.5-2014.10.29</t>
    <phoneticPr fontId="46" type="noConversion"/>
  </si>
  <si>
    <r>
      <t>2014</t>
    </r>
    <r>
      <rPr>
        <sz val="11"/>
        <color theme="1"/>
        <rFont val="宋体"/>
        <family val="3"/>
        <charset val="134"/>
        <scheme val="minor"/>
      </rPr>
      <t>.5.28</t>
    </r>
    <phoneticPr fontId="14" type="noConversion"/>
  </si>
  <si>
    <t>2014.6-2015.5</t>
    <phoneticPr fontId="1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</si>
  <si>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014.6-2014.10.29</t>
    </r>
    <phoneticPr fontId="14" type="noConversion"/>
  </si>
  <si>
    <t>110102201101223313</t>
    <phoneticPr fontId="14" type="noConversion"/>
  </si>
  <si>
    <t>11010520091205751X</t>
    <phoneticPr fontId="14" type="noConversion"/>
  </si>
  <si>
    <t>230184201008190010</t>
    <phoneticPr fontId="14" type="noConversion"/>
  </si>
  <si>
    <t>110105201002221530</t>
    <phoneticPr fontId="14" type="noConversion"/>
  </si>
  <si>
    <t>230103201104042810</t>
  </si>
  <si>
    <t>2013.3.27/2014.5.27</t>
    <phoneticPr fontId="14" type="noConversion"/>
  </si>
  <si>
    <t>2014.5.26</t>
    <phoneticPr fontId="14" type="noConversion"/>
  </si>
  <si>
    <t>2013.4.2/2014.5.26</t>
    <phoneticPr fontId="14" type="noConversion"/>
  </si>
  <si>
    <t>110108201110255710</t>
  </si>
  <si>
    <t>2014.5.26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</si>
  <si>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014.7-2015.6</t>
    </r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</si>
  <si>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014.7-2014.10.29</t>
    </r>
    <phoneticPr fontId="14" type="noConversion"/>
  </si>
  <si>
    <t>2014.5.23</t>
    <phoneticPr fontId="14" type="noConversion"/>
  </si>
  <si>
    <t>2013.4.25/2014.5.21</t>
    <phoneticPr fontId="14" type="noConversion"/>
  </si>
  <si>
    <t>2014.5.20</t>
    <phoneticPr fontId="14" type="noConversion"/>
  </si>
  <si>
    <t>110105201106018115</t>
  </si>
  <si>
    <t>110105201102208325</t>
  </si>
  <si>
    <t>2013.3.28/2014.5.20</t>
    <phoneticPr fontId="14" type="noConversion"/>
  </si>
  <si>
    <t>2013.4.7/2014.5.16</t>
    <phoneticPr fontId="14" type="noConversion"/>
  </si>
  <si>
    <t>2014.5.15</t>
    <phoneticPr fontId="14" type="noConversion"/>
  </si>
  <si>
    <t>110108201010201424</t>
  </si>
  <si>
    <t>440405201101183345</t>
    <phoneticPr fontId="14" type="noConversion"/>
  </si>
  <si>
    <t>110105201106297521</t>
  </si>
  <si>
    <t>预备生退园？？？？</t>
    <phoneticPr fontId="14" type="noConversion"/>
  </si>
  <si>
    <t>371322201106090025</t>
    <phoneticPr fontId="14" type="noConversion"/>
  </si>
  <si>
    <t>320106201101050031</t>
    <phoneticPr fontId="14" type="noConversion"/>
  </si>
  <si>
    <t>110102201008261921</t>
    <phoneticPr fontId="14" type="noConversion"/>
  </si>
  <si>
    <t xml:space="preserve">K02012222 </t>
    <phoneticPr fontId="14" type="noConversion"/>
  </si>
  <si>
    <t>110105201109088119</t>
    <phoneticPr fontId="14" type="noConversion"/>
  </si>
  <si>
    <t>130626201104060013</t>
    <phoneticPr fontId="14" type="noConversion"/>
  </si>
  <si>
    <t>110101201106184011</t>
    <phoneticPr fontId="14" type="noConversion"/>
  </si>
  <si>
    <t>S487351(5)</t>
    <phoneticPr fontId="14" type="noConversion"/>
  </si>
  <si>
    <t>110105201101188342</t>
    <phoneticPr fontId="14" type="noConversion"/>
  </si>
  <si>
    <t>220105201104223620</t>
    <phoneticPr fontId="14" type="noConversion"/>
  </si>
  <si>
    <t>110108201103092781</t>
    <phoneticPr fontId="14" type="noConversion"/>
  </si>
  <si>
    <t>K110042525</t>
    <phoneticPr fontId="14" type="noConversion"/>
  </si>
  <si>
    <t>110105201103243819</t>
    <phoneticPr fontId="14" type="noConversion"/>
  </si>
  <si>
    <t>481102051</t>
    <phoneticPr fontId="14" type="noConversion"/>
  </si>
  <si>
    <t>110105201104047529</t>
    <phoneticPr fontId="14" type="noConversion"/>
  </si>
  <si>
    <t>410211201001140054</t>
    <phoneticPr fontId="14" type="noConversion"/>
  </si>
  <si>
    <t>110101201103086248</t>
    <phoneticPr fontId="14" type="noConversion"/>
  </si>
  <si>
    <r>
      <rPr>
        <b/>
        <sz val="14"/>
        <color indexed="8"/>
        <rFont val="宋体"/>
        <family val="3"/>
        <charset val="134"/>
      </rPr>
      <t>北大公学幼儿园各项费用明细表</t>
    </r>
    <r>
      <rPr>
        <b/>
        <sz val="14"/>
        <color indexed="8"/>
        <rFont val="Arial"/>
        <family val="2"/>
      </rPr>
      <t>2014-2017</t>
    </r>
    <r>
      <rPr>
        <b/>
        <sz val="14"/>
        <color indexed="8"/>
        <rFont val="宋体"/>
        <family val="3"/>
        <charset val="134"/>
      </rPr>
      <t>学年度</t>
    </r>
    <phoneticPr fontId="14" type="noConversion"/>
  </si>
  <si>
    <t>杂费起止日期</t>
    <phoneticPr fontId="46" type="noConversion"/>
  </si>
  <si>
    <t>2014年9月1日-2017年8月31日各项收入汇总表</t>
    <phoneticPr fontId="14" type="noConversion"/>
  </si>
  <si>
    <r>
      <rPr>
        <b/>
        <sz val="14"/>
        <color indexed="8"/>
        <rFont val="宋体"/>
        <family val="3"/>
        <charset val="134"/>
      </rPr>
      <t>北大公学幼儿园各项费用明细表</t>
    </r>
    <r>
      <rPr>
        <b/>
        <sz val="14"/>
        <color indexed="8"/>
        <rFont val="Arial"/>
        <family val="2"/>
      </rPr>
      <t>2011-2014</t>
    </r>
    <r>
      <rPr>
        <b/>
        <sz val="14"/>
        <color indexed="8"/>
        <rFont val="宋体"/>
        <family val="3"/>
        <charset val="134"/>
      </rPr>
      <t>学年度</t>
    </r>
    <phoneticPr fontId="14" type="noConversion"/>
  </si>
  <si>
    <r>
      <t>2011.9-2014.8</t>
    </r>
    <r>
      <rPr>
        <b/>
        <sz val="12"/>
        <color indexed="8"/>
        <rFont val="宋体"/>
        <family val="3"/>
        <charset val="134"/>
      </rPr>
      <t>学年度学费收入</t>
    </r>
    <phoneticPr fontId="14" type="noConversion"/>
  </si>
  <si>
    <r>
      <t>2011.9-2013.9</t>
    </r>
    <r>
      <rPr>
        <b/>
        <sz val="12"/>
        <color indexed="8"/>
        <rFont val="宋体"/>
        <family val="3"/>
        <charset val="134"/>
      </rPr>
      <t>学年度餐费收入</t>
    </r>
    <phoneticPr fontId="14" type="noConversion"/>
  </si>
  <si>
    <r>
      <t>2011.9-2014.8</t>
    </r>
    <r>
      <rPr>
        <b/>
        <sz val="12"/>
        <color indexed="8"/>
        <rFont val="宋体"/>
        <family val="3"/>
        <charset val="134"/>
      </rPr>
      <t>学年度校车费收入</t>
    </r>
    <phoneticPr fontId="14" type="noConversion"/>
  </si>
  <si>
    <r>
      <rPr>
        <b/>
        <sz val="10"/>
        <color indexed="8"/>
        <rFont val="宋体"/>
        <family val="3"/>
        <charset val="134"/>
      </rPr>
      <t>序号</t>
    </r>
    <phoneticPr fontId="14" type="noConversion"/>
  </si>
  <si>
    <r>
      <rPr>
        <b/>
        <sz val="10"/>
        <color indexed="8"/>
        <rFont val="宋体"/>
        <family val="3"/>
        <charset val="134"/>
      </rPr>
      <t>状态</t>
    </r>
    <phoneticPr fontId="14" type="noConversion"/>
  </si>
  <si>
    <r>
      <rPr>
        <b/>
        <sz val="10"/>
        <color indexed="8"/>
        <rFont val="宋体"/>
        <family val="3"/>
        <charset val="134"/>
      </rPr>
      <t>姓名</t>
    </r>
    <phoneticPr fontId="14" type="noConversion"/>
  </si>
  <si>
    <r>
      <rPr>
        <b/>
        <sz val="10"/>
        <color indexed="8"/>
        <rFont val="宋体"/>
        <family val="3"/>
        <charset val="134"/>
      </rPr>
      <t>杂费收入</t>
    </r>
    <phoneticPr fontId="14" type="noConversion"/>
  </si>
  <si>
    <r>
      <rPr>
        <b/>
        <sz val="10"/>
        <color indexed="8"/>
        <rFont val="宋体"/>
        <family val="3"/>
        <charset val="134"/>
      </rPr>
      <t>费用缴纳日期</t>
    </r>
    <phoneticPr fontId="14" type="noConversion"/>
  </si>
  <si>
    <r>
      <rPr>
        <b/>
        <sz val="10"/>
        <color indexed="8"/>
        <rFont val="宋体"/>
        <family val="3"/>
        <charset val="134"/>
      </rPr>
      <t>缴纳学费起止日期</t>
    </r>
    <phoneticPr fontId="14" type="noConversion"/>
  </si>
  <si>
    <r>
      <rPr>
        <b/>
        <sz val="10"/>
        <color indexed="8"/>
        <rFont val="宋体"/>
        <family val="3"/>
        <charset val="134"/>
      </rPr>
      <t>缴纳学费金额</t>
    </r>
    <phoneticPr fontId="14" type="noConversion"/>
  </si>
  <si>
    <r>
      <rPr>
        <b/>
        <sz val="10"/>
        <color indexed="8"/>
        <rFont val="宋体"/>
        <family val="3"/>
        <charset val="134"/>
      </rPr>
      <t>缴纳餐费起止日期</t>
    </r>
    <phoneticPr fontId="14" type="noConversion"/>
  </si>
  <si>
    <r>
      <rPr>
        <b/>
        <sz val="10"/>
        <color indexed="8"/>
        <rFont val="宋体"/>
        <family val="3"/>
        <charset val="134"/>
      </rPr>
      <t>缴纳餐费金额</t>
    </r>
    <phoneticPr fontId="14" type="noConversion"/>
  </si>
  <si>
    <r>
      <rPr>
        <b/>
        <sz val="10"/>
        <color indexed="8"/>
        <rFont val="宋体"/>
        <family val="3"/>
        <charset val="134"/>
      </rPr>
      <t>缴纳校车费起止日期</t>
    </r>
    <phoneticPr fontId="14" type="noConversion"/>
  </si>
  <si>
    <r>
      <rPr>
        <b/>
        <sz val="10"/>
        <color indexed="8"/>
        <rFont val="宋体"/>
        <family val="3"/>
        <charset val="134"/>
      </rPr>
      <t>缴纳校车费金额</t>
    </r>
    <phoneticPr fontId="14" type="noConversion"/>
  </si>
  <si>
    <r>
      <rPr>
        <b/>
        <sz val="10"/>
        <color indexed="8"/>
        <rFont val="宋体"/>
        <family val="3"/>
        <charset val="134"/>
      </rPr>
      <t>合计金额</t>
    </r>
    <phoneticPr fontId="14" type="noConversion"/>
  </si>
  <si>
    <r>
      <rPr>
        <b/>
        <sz val="10"/>
        <color indexed="8"/>
        <rFont val="宋体"/>
        <family val="3"/>
        <charset val="134"/>
      </rPr>
      <t>明细合计</t>
    </r>
    <phoneticPr fontId="14" type="noConversion"/>
  </si>
  <si>
    <r>
      <rPr>
        <b/>
        <sz val="10"/>
        <color indexed="8"/>
        <rFont val="宋体"/>
        <family val="3"/>
        <charset val="134"/>
      </rPr>
      <t>对比</t>
    </r>
    <phoneticPr fontId="14" type="noConversion"/>
  </si>
  <si>
    <t>2011.9</t>
    <phoneticPr fontId="14" type="noConversion"/>
  </si>
  <si>
    <t>2011.10</t>
  </si>
  <si>
    <t>2011.11</t>
  </si>
  <si>
    <t>2011.12</t>
  </si>
  <si>
    <t>2012.1</t>
    <phoneticPr fontId="14" type="noConversion"/>
  </si>
  <si>
    <t>2012.2</t>
  </si>
  <si>
    <t>2012.3</t>
  </si>
  <si>
    <t>2012.4</t>
  </si>
  <si>
    <t>2012.5.16</t>
    <phoneticPr fontId="14" type="noConversion"/>
  </si>
  <si>
    <t>2012.5.17</t>
    <phoneticPr fontId="14" type="noConversion"/>
  </si>
  <si>
    <t>2012.6</t>
  </si>
  <si>
    <t>2012.7</t>
    <phoneticPr fontId="14" type="noConversion"/>
  </si>
  <si>
    <t>2012.8</t>
  </si>
  <si>
    <t>2012.9</t>
  </si>
  <si>
    <t>2012.10</t>
  </si>
  <si>
    <t>2012.11</t>
  </si>
  <si>
    <t>2012.12</t>
  </si>
  <si>
    <t>2013.1</t>
    <phoneticPr fontId="14" type="noConversion"/>
  </si>
  <si>
    <t>2013.2</t>
  </si>
  <si>
    <t>2013.3</t>
  </si>
  <si>
    <t>2013.4</t>
  </si>
  <si>
    <t>2013.5</t>
    <phoneticPr fontId="14" type="noConversion"/>
  </si>
  <si>
    <t>2013.6</t>
    <phoneticPr fontId="14" type="noConversion"/>
  </si>
  <si>
    <t>2013.7</t>
    <phoneticPr fontId="14" type="noConversion"/>
  </si>
  <si>
    <t>2013.8</t>
    <phoneticPr fontId="14" type="noConversion"/>
  </si>
  <si>
    <t>2013.9</t>
    <phoneticPr fontId="14" type="noConversion"/>
  </si>
  <si>
    <t>2013.10</t>
    <phoneticPr fontId="14" type="noConversion"/>
  </si>
  <si>
    <t>2013.11</t>
    <phoneticPr fontId="14" type="noConversion"/>
  </si>
  <si>
    <t>2013.12</t>
    <phoneticPr fontId="14" type="noConversion"/>
  </si>
  <si>
    <t>2014.1</t>
    <phoneticPr fontId="14" type="noConversion"/>
  </si>
  <si>
    <t>2014.2</t>
    <phoneticPr fontId="14" type="noConversion"/>
  </si>
  <si>
    <t>2014.3</t>
    <phoneticPr fontId="14" type="noConversion"/>
  </si>
  <si>
    <t>2014.4</t>
    <phoneticPr fontId="14" type="noConversion"/>
  </si>
  <si>
    <t>2014.5</t>
    <phoneticPr fontId="14" type="noConversion"/>
  </si>
  <si>
    <t>2014.6</t>
    <phoneticPr fontId="14" type="noConversion"/>
  </si>
  <si>
    <t>2014.7</t>
    <phoneticPr fontId="14" type="noConversion"/>
  </si>
  <si>
    <t>2014.8</t>
    <phoneticPr fontId="14" type="noConversion"/>
  </si>
  <si>
    <t>2014.9</t>
  </si>
  <si>
    <t>2015.1</t>
    <phoneticPr fontId="14" type="noConversion"/>
  </si>
  <si>
    <t>2015.2</t>
    <phoneticPr fontId="14" type="noConversion"/>
  </si>
  <si>
    <t>2012.5.17</t>
  </si>
  <si>
    <t>2013.11</t>
  </si>
  <si>
    <t>2013.12</t>
  </si>
  <si>
    <t>2014.2</t>
  </si>
  <si>
    <t>2014.3</t>
  </si>
  <si>
    <t>2014.4</t>
  </si>
  <si>
    <t>2014.5</t>
  </si>
  <si>
    <t>2014.6</t>
  </si>
  <si>
    <t>2014.7</t>
  </si>
  <si>
    <t>2014.8</t>
  </si>
  <si>
    <t>ZXS</t>
    <phoneticPr fontId="14" type="noConversion"/>
  </si>
  <si>
    <t>2011-8-29/2012.8.30/2013.1.31/2013.3.6/2013.8.9/2014.1.3</t>
    <phoneticPr fontId="14" type="noConversion"/>
  </si>
  <si>
    <t>2011.9.5-2014.8.31</t>
    <phoneticPr fontId="14" type="noConversion"/>
  </si>
  <si>
    <t>2011.12.1-2014.8.31</t>
    <phoneticPr fontId="14" type="noConversion"/>
  </si>
  <si>
    <t>2011-9-5/2012.7.2/2012.9.3/2012.9.26/2012.11.6/2013.3.21/2013.8.23/2014.1.14</t>
    <phoneticPr fontId="14" type="noConversion"/>
  </si>
  <si>
    <t>王晓菡</t>
    <phoneticPr fontId="14" type="noConversion"/>
  </si>
  <si>
    <r>
      <t>2011/9/5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2011/11/24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2011/11/28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2012.8.28/2012.9.24/2012.10.24/2012.11.22/2013.3.6/2013.8.6/2013.9.12/2013.9.25/2013.11.15/2013.12.17/2014.3.12</t>
    </r>
    <phoneticPr fontId="14" type="noConversion"/>
  </si>
  <si>
    <t>2011.9.5-2014.6.30</t>
    <phoneticPr fontId="14" type="noConversion"/>
  </si>
  <si>
    <t>2011.9.5-2014.1.31/2014.3.1-2014.6.30</t>
    <phoneticPr fontId="14" type="noConversion"/>
  </si>
  <si>
    <t>2011.12.1-2012.2.28/2012.9.1-2013.3.31</t>
    <phoneticPr fontId="14" type="noConversion"/>
  </si>
  <si>
    <t>陈佑民</t>
    <phoneticPr fontId="14" type="noConversion"/>
  </si>
  <si>
    <r>
      <t>2011/9/14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2011/11/25/2012.8.14/2012.10.23/2014.2.18</t>
    </r>
    <phoneticPr fontId="14" type="noConversion"/>
  </si>
  <si>
    <t>2011.9.15-2014.8.31</t>
    <phoneticPr fontId="14" type="noConversion"/>
  </si>
  <si>
    <t>2012-2-8/2013.3.4/2013.8.23/2014.1.9</t>
    <phoneticPr fontId="14" type="noConversion"/>
  </si>
  <si>
    <t>2012.3.1-2014.8.31</t>
    <phoneticPr fontId="14" type="noConversion"/>
  </si>
  <si>
    <t>2012.9.1-2014.8.31</t>
    <phoneticPr fontId="14" type="noConversion"/>
  </si>
  <si>
    <t>2012-2-15/2013.2.27/2013.8.16/2013.9.24/2014.2.26</t>
    <phoneticPr fontId="14" type="noConversion"/>
  </si>
  <si>
    <t>唐势坤</t>
    <phoneticPr fontId="14" type="noConversion"/>
  </si>
  <si>
    <t>2012-2-17/2012.9.10/2013.3.19/2013.8.6/2013.10.16/2013.12.26/2014.3.3</t>
    <phoneticPr fontId="14" type="noConversion"/>
  </si>
  <si>
    <t>2012.3.1-2014.1.31/2014.3.1-2014.8.31</t>
    <phoneticPr fontId="14" type="noConversion"/>
  </si>
  <si>
    <t>孙煜豪</t>
    <phoneticPr fontId="14" type="noConversion"/>
  </si>
  <si>
    <t>2012-2-24/2013.3.25/2013.9.24/2013.11.28/2013.12.31/2014.1.20/2014.3.3</t>
    <phoneticPr fontId="14" type="noConversion"/>
  </si>
  <si>
    <t>2012.3.1-2013.8.31/2013.9.1-2013.10.31/2013.12.1-2014.8.31</t>
    <phoneticPr fontId="14" type="noConversion"/>
  </si>
  <si>
    <t>2012.9.1-2013.2.28/2013.5.1-2013.6.30/2013.9.1-2013.10.31/2013.12.1-2014.8.31</t>
    <phoneticPr fontId="14" type="noConversion"/>
  </si>
  <si>
    <t>2012.3.1-2013.2.28/2013.5.1-2013.6.30/2013.9.1-2013.10.31/2013.12.1-2014.5.31</t>
    <phoneticPr fontId="14" type="noConversion"/>
  </si>
  <si>
    <t>2012-2-27/2012.9.3/2013.3.4/2013.8.5/2014.1.16</t>
    <phoneticPr fontId="14" type="noConversion"/>
  </si>
  <si>
    <t>朱凯齐</t>
    <phoneticPr fontId="14" type="noConversion"/>
  </si>
  <si>
    <t>2012-2-29/2012.8.3/2013.3.1/2013.7.31/2014.2.18</t>
    <phoneticPr fontId="14" type="noConversion"/>
  </si>
  <si>
    <t>李轼</t>
    <phoneticPr fontId="14" type="noConversion"/>
  </si>
  <si>
    <r>
      <t>2012/3/5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2012/5/7/2012.8.14/2013.3.4/2013.7.23/2013.9.9/2014.1.3</t>
    </r>
    <phoneticPr fontId="14" type="noConversion"/>
  </si>
  <si>
    <t>2012.5.1-2013.8.31</t>
    <phoneticPr fontId="14" type="noConversion"/>
  </si>
  <si>
    <t>2012-3-27/2012.9.4/2012.12.7/2013.3.15/2013.8.8/2014.1.20</t>
    <phoneticPr fontId="14" type="noConversion"/>
  </si>
  <si>
    <t>2012.6.1-2014.8.31</t>
    <phoneticPr fontId="14" type="noConversion"/>
  </si>
  <si>
    <t>2012.12.1-2012.12.31</t>
    <phoneticPr fontId="14" type="noConversion"/>
  </si>
  <si>
    <t>田苑茜</t>
    <phoneticPr fontId="14" type="noConversion"/>
  </si>
  <si>
    <t>2012-4-10/2012.8.31/2012.11.15/2012.1.31/2013.3.28/2013.8.6/2013.9.18/2013.10.18/2014.1.15</t>
    <phoneticPr fontId="14" type="noConversion"/>
  </si>
  <si>
    <t>2012.4.1-2014.8.31</t>
    <phoneticPr fontId="14" type="noConversion"/>
  </si>
  <si>
    <t>2012.9.1-2014.1.31/2014.3.1-2014.8.31</t>
    <phoneticPr fontId="14" type="noConversion"/>
  </si>
  <si>
    <t>ZXS</t>
    <phoneticPr fontId="14" type="noConversion"/>
  </si>
  <si>
    <t>2012-5-8/2012.7.6/2012.8.8/2013.1.10/2013.2.28/2013.3.7/2013.8.5/2014.1.24</t>
    <phoneticPr fontId="14" type="noConversion"/>
  </si>
  <si>
    <t>2012.5.1-2014.8.31</t>
    <phoneticPr fontId="14" type="noConversion"/>
  </si>
  <si>
    <t>2012.7.9-2014.8.31</t>
    <phoneticPr fontId="14" type="noConversion"/>
  </si>
  <si>
    <t>2012-4-28/2012.8.16/2013.1.25/2013.2.25/2013.3.19/2013.6.3/2013.8.15/2014.1.7</t>
    <phoneticPr fontId="14" type="noConversion"/>
  </si>
  <si>
    <t>2013.6.1-2014.8.31</t>
    <phoneticPr fontId="14" type="noConversion"/>
  </si>
  <si>
    <t>陆泓铭</t>
    <phoneticPr fontId="14" type="noConversion"/>
  </si>
  <si>
    <t>2012-5-8/2012.9.7/2012.10.18/2013.2.26/2013.9.2/2013.10.28/2013.12.172014.3.3</t>
    <phoneticPr fontId="14" type="noConversion"/>
  </si>
  <si>
    <t>2012.9.1-2013.7.31/2013.9.1-2014.8.31</t>
    <phoneticPr fontId="14" type="noConversion"/>
  </si>
  <si>
    <t>2012.5.1-2012.5.31/2012.8.13-2013.2.28/2013.9.1-2014.2.28</t>
    <phoneticPr fontId="14" type="noConversion"/>
  </si>
  <si>
    <t>张耀</t>
    <phoneticPr fontId="14" type="noConversion"/>
  </si>
  <si>
    <t>2012-5-9/2012.8.31/2012.9.24/2012.10.19/2012.11.23/2012.12.24/2013.1.25/2013.3.12/2013.9.5/2014.3.12</t>
    <phoneticPr fontId="14" type="noConversion"/>
  </si>
  <si>
    <t>2012.5.9-2014.6.30</t>
    <phoneticPr fontId="14" type="noConversion"/>
  </si>
  <si>
    <t>2012.5.1-2014.6.30</t>
    <phoneticPr fontId="14" type="noConversion"/>
  </si>
  <si>
    <t>邓佳禾</t>
    <phoneticPr fontId="14" type="noConversion"/>
  </si>
  <si>
    <t>2012-3-13/2012.8.7/2012.8.10/2013.3.1/2014.1.10/2014.1.24/2014.4.30</t>
    <phoneticPr fontId="14" type="noConversion"/>
  </si>
  <si>
    <t>2012.9.1-2014.8.31</t>
    <phoneticPr fontId="14" type="noConversion"/>
  </si>
  <si>
    <t>2012.9.1-2013.2.28/2013.11.1-2014.8.31</t>
    <phoneticPr fontId="14" type="noConversion"/>
  </si>
  <si>
    <t>2012-5-29/2012.8.16/2013.3.18/2013.8.23/2013.12.6/2014.2.21</t>
    <phoneticPr fontId="14" type="noConversion"/>
  </si>
  <si>
    <t>梁思聪</t>
    <phoneticPr fontId="14" type="noConversion"/>
  </si>
  <si>
    <t>2012-6-12/2012.8.6/2012.9.17/2012.10.18/2012.11.23/2013.2.25/2013.6.19/2013.8.7/2013.9.17/2013.10.18/2013.12.5/2014.1.9</t>
    <phoneticPr fontId="14" type="noConversion"/>
  </si>
  <si>
    <t>2012.7.1-2014.8.31</t>
    <phoneticPr fontId="14" type="noConversion"/>
  </si>
  <si>
    <t>2012.7.1-2013.7.31/2013.9.1-2014.8.31</t>
    <phoneticPr fontId="14" type="noConversion"/>
  </si>
  <si>
    <t>2012.9.1-2013.2.28</t>
    <phoneticPr fontId="14" type="noConversion"/>
  </si>
  <si>
    <t>董玹</t>
    <phoneticPr fontId="14" type="noConversion"/>
  </si>
  <si>
    <t>2012-6-26/2012.10.19/2012.12.27/2013.5.24/2013.12.13/2014.2.17</t>
    <phoneticPr fontId="14" type="noConversion"/>
  </si>
  <si>
    <t>2014.3.1-2014.8.31</t>
    <phoneticPr fontId="14" type="noConversion"/>
  </si>
  <si>
    <t>周乐芃</t>
    <phoneticPr fontId="14" type="noConversion"/>
  </si>
  <si>
    <t>2012-6-30/2012.7.5/2013.3.1/2013.4.3/2013.9.2/2013.11.8/2014.1.24/2014.2.20/2014.4.30</t>
    <phoneticPr fontId="14" type="noConversion"/>
  </si>
  <si>
    <t>2012.9.1-2013.2.28/2013.4.1-2013.4.30/2013.11.1-2014.7.31</t>
    <phoneticPr fontId="14" type="noConversion"/>
  </si>
  <si>
    <t>莫沉</t>
    <phoneticPr fontId="14" type="noConversion"/>
  </si>
  <si>
    <t>2012-6-30/2012-7-5/2012.10.17/2013.3.13/2013.3.14/2013.8.9/2014.2.11</t>
    <phoneticPr fontId="14" type="noConversion"/>
  </si>
  <si>
    <t>2012.11.1-2013.2.28</t>
    <phoneticPr fontId="14" type="noConversion"/>
  </si>
  <si>
    <t>丁若然</t>
    <phoneticPr fontId="14" type="noConversion"/>
  </si>
  <si>
    <t>2012.6.30/2012.8.14/2013.4.2/2013.7.19/2014.1.9</t>
    <phoneticPr fontId="14" type="noConversion"/>
  </si>
  <si>
    <t>2012.9.1-2013.2.28/2013.4.1-2014.8.31</t>
    <phoneticPr fontId="14" type="noConversion"/>
  </si>
  <si>
    <t>2012.9.1-2013.2.28/2013.4.1-2013.8.31/2013.9.1-2014.8.31</t>
    <phoneticPr fontId="14" type="noConversion"/>
  </si>
  <si>
    <t>2012-6-30/2012.9.24/2012.10.23/2012.11.20/2012.12.20/2013.1.21/2013.3.14/2013.8.5/2014.1.13</t>
    <phoneticPr fontId="14" type="noConversion"/>
  </si>
  <si>
    <t>2012.10.1-2014.8.31</t>
    <phoneticPr fontId="14" type="noConversion"/>
  </si>
  <si>
    <t>康木子</t>
    <phoneticPr fontId="14" type="noConversion"/>
  </si>
  <si>
    <t>2012-6-30/2012.7.6/2012.9.32012.9.24/2012.10.24/2012.11.22/2012.12.20/2013.1.23/2013.2.21/2013.3.18/2013.4.16/2013.4.25/2013.5.20/2013.6.24/2013.8.6/2013.9.6/2013.10.12/2013.12.4/2013.12.25/2014.1.8</t>
    <phoneticPr fontId="14" type="noConversion"/>
  </si>
  <si>
    <t>2013.5.1-2014.8.31</t>
    <phoneticPr fontId="14" type="noConversion"/>
  </si>
  <si>
    <t>高圣钧</t>
    <phoneticPr fontId="14" type="noConversion"/>
  </si>
  <si>
    <t>2012-7-3/2012.10.25/2012.11.22/2013.2.28/2013.8.22/2014.2.10</t>
    <phoneticPr fontId="14" type="noConversion"/>
  </si>
  <si>
    <t>2012.9.1-2013.7.31/2013.9.1-2014.8.31</t>
    <phoneticPr fontId="14" type="noConversion"/>
  </si>
  <si>
    <t>2012.9.3-2014.4.30</t>
    <phoneticPr fontId="14" type="noConversion"/>
  </si>
  <si>
    <t>杨铂宁</t>
    <phoneticPr fontId="14" type="noConversion"/>
  </si>
  <si>
    <t>2012.7.15/2012.7.28/2013.3.15/2013.4.26/2013.6.19/2013.9.4/2013.11.4/2013.12.16/2013.12.30/2014.3.19</t>
    <phoneticPr fontId="14" type="noConversion"/>
  </si>
  <si>
    <t>2012.8.6-2014.8.31</t>
    <phoneticPr fontId="14" type="noConversion"/>
  </si>
  <si>
    <t>2012.8.6-2013.7.31/2013.9.1-2014.1.31/2014.3.1-2014.8.31</t>
    <phoneticPr fontId="14" type="noConversion"/>
  </si>
  <si>
    <t>王艺霖</t>
    <phoneticPr fontId="14" type="noConversion"/>
  </si>
  <si>
    <t>2012.7.21/2012.7.28/2012.10.31/2013.2.26/2013.7.31/2013.9.5/2014.2.11</t>
    <phoneticPr fontId="14" type="noConversion"/>
  </si>
  <si>
    <t>2012.9.1-2013.4.30/2013.9.1-2014.2.28/2014.6.16-2014.8.31</t>
    <phoneticPr fontId="14" type="noConversion"/>
  </si>
  <si>
    <t>王馨仪</t>
    <phoneticPr fontId="14" type="noConversion"/>
  </si>
  <si>
    <t>2012.7.23/2012.8.29/2013.2.28/2013.3.21/2013.4.18/2013.5.16/2013.6.20/2013.8.1/2013.10.10/2013.11.14/2013.12.26/2014.1.2/2014.1.16/</t>
    <phoneticPr fontId="14" type="noConversion"/>
  </si>
  <si>
    <t>2012.9.1-2014.4.30</t>
    <phoneticPr fontId="14" type="noConversion"/>
  </si>
  <si>
    <t>张雨晨</t>
    <phoneticPr fontId="14" type="noConversion"/>
  </si>
  <si>
    <t>2012.7.28/2012.8.21/2012.9.27/2012.10.22/2012.11.22/2013.2.25/2013.2.28/2013.4.18/2013.6.20/2013.8.5/2013.10.10/2014.1.9</t>
    <phoneticPr fontId="14" type="noConversion"/>
  </si>
  <si>
    <t>2012.8.1-2014.8.31</t>
    <phoneticPr fontId="14" type="noConversion"/>
  </si>
  <si>
    <t>赵周易</t>
    <phoneticPr fontId="14" type="noConversion"/>
  </si>
  <si>
    <t>2012.8.1/2012.8.6/2012.8.31/2012.9.24/2012.10.29/2012.11.23/2012.12.21/2013.1.21/2013.2.25/2013.3.6/2013.3.26/2013.4.23/2013.5.14/2013.6.26/2013.8.29/2013.9.18/2013.10.29/2013.12.2/2014.1.13</t>
    <phoneticPr fontId="14" type="noConversion"/>
  </si>
  <si>
    <t>衣宇嘉</t>
    <phoneticPr fontId="14" type="noConversion"/>
  </si>
  <si>
    <t>2012.8.6/2013.3.1/2013.8.5/2014.3.3</t>
    <phoneticPr fontId="14" type="noConversion"/>
  </si>
  <si>
    <t>2012.8.7-2014.8.31</t>
    <phoneticPr fontId="14" type="noConversion"/>
  </si>
  <si>
    <t>高健赫</t>
    <phoneticPr fontId="14" type="noConversion"/>
  </si>
  <si>
    <t>2012.8.6/2013.1.29/2013.8.2/2014.1.13</t>
    <phoneticPr fontId="14" type="noConversion"/>
  </si>
  <si>
    <t>马钰涵</t>
    <phoneticPr fontId="14" type="noConversion"/>
  </si>
  <si>
    <t>2012.8.10/2012.9.24/2012.10.22/2012.12.24/2013.1.25/2013.1.30/2013.2.26/2013.3.22/2013.5.6/2013.6.18/2013.7.30/2013.8.14/2013.10.24/2013.12.23/2014.1.13</t>
    <phoneticPr fontId="14" type="noConversion"/>
  </si>
  <si>
    <t>孟熙然</t>
    <phoneticPr fontId="14" type="noConversion"/>
  </si>
  <si>
    <t>2012.8.14/2012.10.9/2013.3.7/2013.9.2/2014.3.3</t>
    <phoneticPr fontId="14" type="noConversion"/>
  </si>
  <si>
    <t>2012.9.1-2013.6.30/2013.9.1-2014.8.31</t>
    <phoneticPr fontId="14" type="noConversion"/>
  </si>
  <si>
    <t>2012.11.1-2013.6.30/2013.9.1-2014.6.30</t>
    <phoneticPr fontId="14" type="noConversion"/>
  </si>
  <si>
    <t>杨颜泽</t>
    <phoneticPr fontId="14" type="noConversion"/>
  </si>
  <si>
    <t>2012.8.15/2012.10.23/2012.11.15/2012.12.18/2013.1.9/2013.3.27/2013.6.17/2013.8.23/2014.1.17</t>
    <phoneticPr fontId="14" type="noConversion"/>
  </si>
  <si>
    <t>2012.9.1-2013.7.31/2013.9.1-2014.1.31/2014.3.1-2014.8.31</t>
    <phoneticPr fontId="14" type="noConversion"/>
  </si>
  <si>
    <t>2012.9.1-2013.3.31</t>
    <phoneticPr fontId="14" type="noConversion"/>
  </si>
  <si>
    <t>于涵磊</t>
    <phoneticPr fontId="14" type="noConversion"/>
  </si>
  <si>
    <t>2012.8.17/2012.8.24/2012.9.24/2012.10.25/2012.11.22/2012.12.25/2013.3.13/2013.7.30/2014.1.9</t>
    <phoneticPr fontId="14" type="noConversion"/>
  </si>
  <si>
    <t>2012.9.1-2014.2.28</t>
    <phoneticPr fontId="14" type="noConversion"/>
  </si>
  <si>
    <t>张芷兰</t>
    <phoneticPr fontId="14" type="noConversion"/>
  </si>
  <si>
    <t>2012.8.18/2012.9.24/2012.10.15/2012.10.22/2012.11.22/2012.12.27/2013.3.4/2013.3.27/2013.4.1/2013.9.11/2013.9.17</t>
    <phoneticPr fontId="14" type="noConversion"/>
  </si>
  <si>
    <t>2012.11.1-2013.2.28/2014.3.1-2014.8.31</t>
    <phoneticPr fontId="14" type="noConversion"/>
  </si>
  <si>
    <t>朱宸睿</t>
    <phoneticPr fontId="14" type="noConversion"/>
  </si>
  <si>
    <t>2012.8.25/2012.11.22/2012.12.19/2013.1.24/2013.2.22/2013.3.21/2013.4.24/2013.5.24/2013.6.17/2013.7.25/2013.8.5/2013.9.25/2013.10.10/2013.11.20/2013.12.16/2014.1.10</t>
    <phoneticPr fontId="14" type="noConversion"/>
  </si>
  <si>
    <t>2012.11.1-2014.8.31</t>
    <phoneticPr fontId="14" type="noConversion"/>
  </si>
  <si>
    <t>任泽蓬</t>
    <phoneticPr fontId="14" type="noConversion"/>
  </si>
  <si>
    <t>2012.8.27/2012.10.9/2012.10.23/2012.11.21/2013.3.1/2013.4.9/2013.8.26/2014.3.3</t>
    <phoneticPr fontId="14" type="noConversion"/>
  </si>
  <si>
    <t>2012.10.9-2014.8.31</t>
    <phoneticPr fontId="14" type="noConversion"/>
  </si>
  <si>
    <t>2012.10.9-2013.9.30/2013.11.1-2014.8.31</t>
    <phoneticPr fontId="14" type="noConversion"/>
  </si>
  <si>
    <t>章梓钊</t>
    <phoneticPr fontId="14" type="noConversion"/>
  </si>
  <si>
    <t>2012.8.30/2013.1.28/2013.3.14/2013.8.9/2014.1.10</t>
    <phoneticPr fontId="14" type="noConversion"/>
  </si>
  <si>
    <t>聂琳晓</t>
    <phoneticPr fontId="14" type="noConversion"/>
  </si>
  <si>
    <t>2012.9.7/2012.9.26/2012.10.26/2013.3.1/2013.8.1/2014.1.20</t>
    <phoneticPr fontId="14" type="noConversion"/>
  </si>
  <si>
    <t>万欣沂</t>
    <phoneticPr fontId="14" type="noConversion"/>
  </si>
  <si>
    <t>2012.9.10/2013.3.21/2013.8.14/2014.1.10</t>
    <phoneticPr fontId="14" type="noConversion"/>
  </si>
  <si>
    <t>2012.9.11-2014.8.31</t>
    <phoneticPr fontId="14" type="noConversion"/>
  </si>
  <si>
    <t>刘孙扬</t>
    <phoneticPr fontId="14" type="noConversion"/>
  </si>
  <si>
    <t>2012.9.14/2013.2.21/2013.4.1/2013.6.18/2013.8.9/2013.9.25/2014.2.12</t>
    <phoneticPr fontId="14" type="noConversion"/>
  </si>
  <si>
    <t>董行之</t>
    <phoneticPr fontId="14" type="noConversion"/>
  </si>
  <si>
    <t>2013.3.20/2013.8.26/2014.1.24</t>
    <phoneticPr fontId="14" type="noConversion"/>
  </si>
  <si>
    <t>2013.3.1-2014.8.31</t>
    <phoneticPr fontId="14" type="noConversion"/>
  </si>
  <si>
    <t>祁佳稷</t>
    <phoneticPr fontId="14" type="noConversion"/>
  </si>
  <si>
    <t>2012.10.30/2012.10.31/2013.3.6/2013.4.11/2013.8.5/2013.11.20/2014.1.10</t>
    <phoneticPr fontId="14" type="noConversion"/>
  </si>
  <si>
    <t>郭昊洋</t>
    <phoneticPr fontId="14" type="noConversion"/>
  </si>
  <si>
    <t>2012.11.8/2012.11.26/2012.12.24/2013.3.1/2013.9.11/2014.3.14</t>
    <phoneticPr fontId="14" type="noConversion"/>
  </si>
  <si>
    <t>2012.11.9-2014.8.31</t>
    <phoneticPr fontId="14" type="noConversion"/>
  </si>
  <si>
    <t>张铭源</t>
    <phoneticPr fontId="14" type="noConversion"/>
  </si>
  <si>
    <t>2012.11.17/2012.12.18/2013.1.16/2013.2.25/2013.3.1/2013.3.18/2013.4.17/2013.5.14/2013.6.24/2013.8.5/2013.9.24/2013.10.28/2013.2.24/2014.1.14</t>
    <phoneticPr fontId="14" type="noConversion"/>
  </si>
  <si>
    <t>2012.12.3-2014.8.31</t>
    <phoneticPr fontId="14" type="noConversion"/>
  </si>
  <si>
    <t>卢韵泽</t>
    <phoneticPr fontId="14" type="noConversion"/>
  </si>
  <si>
    <t>2012.11.22/2013.3.8/2013.8.26/2014.1.26</t>
    <phoneticPr fontId="14" type="noConversion"/>
  </si>
  <si>
    <t>2012.12.3-2013.7.31/2013.9.1-2014.8.31</t>
    <phoneticPr fontId="14" type="noConversion"/>
  </si>
  <si>
    <t>2013.3.1-2013.6.30/2013.8.1-2013.8.31/2013.10.1-2014.4.30</t>
    <phoneticPr fontId="14" type="noConversion"/>
  </si>
  <si>
    <t>刘凭瑞</t>
    <phoneticPr fontId="14" type="noConversion"/>
  </si>
  <si>
    <t>2012.11.28/2012.12.27/2013.1.28/2013.3.15/2013.8.6/2014.1.10</t>
    <phoneticPr fontId="14" type="noConversion"/>
  </si>
  <si>
    <t>2012.12.4-2014.8.31</t>
    <phoneticPr fontId="14" type="noConversion"/>
  </si>
  <si>
    <t>饶静远</t>
    <phoneticPr fontId="14" type="noConversion"/>
  </si>
  <si>
    <t>2012.12.25/2013.3.5/2013.5.17/2013.7.19/2013.8.21/2014.1.10/2014.2.24</t>
    <phoneticPr fontId="14" type="noConversion"/>
  </si>
  <si>
    <t>2013.1.1-2014.8.31</t>
    <phoneticPr fontId="14" type="noConversion"/>
  </si>
  <si>
    <t>孙俊安</t>
    <phoneticPr fontId="14" type="noConversion"/>
  </si>
  <si>
    <t>2012.12.31/2013.3.1/2013.3.22/2013.4.24/2013.5.24/2013.6.24/2013.8.29/2014.1.23</t>
    <phoneticPr fontId="14" type="noConversion"/>
  </si>
  <si>
    <t>2013.1.4-2014.8.31</t>
    <phoneticPr fontId="14" type="noConversion"/>
  </si>
  <si>
    <t>2013.1.1-2013.7.31/2013.9.1-2013.12.31/2014.3.1-2014.8.31</t>
    <phoneticPr fontId="14" type="noConversion"/>
  </si>
  <si>
    <t>梁亭岳</t>
    <phoneticPr fontId="14" type="noConversion"/>
  </si>
  <si>
    <t>2012.7.7/2013.1.8/2013.2.25/2013.3.29/2013.4.18/2013.5.24/2013.5.27/2013.8.5/2013.10.10/2013.12.16/2014.1.15</t>
    <phoneticPr fontId="14" type="noConversion"/>
  </si>
  <si>
    <t>2013.4.1-2014.8.31</t>
    <phoneticPr fontId="14" type="noConversion"/>
  </si>
  <si>
    <t>赵浩名</t>
    <phoneticPr fontId="14" type="noConversion"/>
  </si>
  <si>
    <t>2013.1.8/2013.2.25/2013.3.19/2013.3.29/2013.5.24/2013.7.31/2013.12.13/2014.1.26</t>
    <phoneticPr fontId="14" type="noConversion"/>
  </si>
  <si>
    <t>乔泊为</t>
    <phoneticPr fontId="14" type="noConversion"/>
  </si>
  <si>
    <t>2013.1.4/2013.4.15/2013.6.17/2013.7.30/2013.9.24/2013.11.25/2014.1.13</t>
    <phoneticPr fontId="14" type="noConversion"/>
  </si>
  <si>
    <t>张泽彬</t>
    <phoneticPr fontId="14" type="noConversion"/>
  </si>
  <si>
    <t>2013.2.23/2013.3.20/2013.4.24/2013.5.16/2013.6.25/2013.7.30/2013.10.9/2013.10.28/2013.11.21/2013.12.13/2014.1.14</t>
    <phoneticPr fontId="14" type="noConversion"/>
  </si>
  <si>
    <t>卢一硕</t>
    <phoneticPr fontId="14" type="noConversion"/>
  </si>
  <si>
    <t>2013.2.27/2013.3.5/2013.3.27/2013.4.18/2013.5.22/2013.6.20/2013.7.18/2013.8.6/2013.8.19/2013.10.11/2013.10.24/2014.2.26</t>
    <phoneticPr fontId="14" type="noConversion"/>
  </si>
  <si>
    <t>2013.3.5-2014.8.31</t>
    <phoneticPr fontId="14" type="noConversion"/>
  </si>
  <si>
    <t>王馨雯</t>
    <phoneticPr fontId="14" type="noConversion"/>
  </si>
  <si>
    <t>2012.11.28/2013.3.5/2013.3.19/2013.5.6/2013.5.6/2013.6.19/2013.7.24/2013.9.9/2014.4.1</t>
    <phoneticPr fontId="14" type="noConversion"/>
  </si>
  <si>
    <t>2013.3.4-2013.7.31/2013.9.1-2014.8.31</t>
    <phoneticPr fontId="14" type="noConversion"/>
  </si>
  <si>
    <t>陈博延</t>
    <phoneticPr fontId="14" type="noConversion"/>
  </si>
  <si>
    <t>2012.11.28/2013.3.5/2013.3.19/2013.8.21/2013.10.11/2014.2.26</t>
    <phoneticPr fontId="14" type="noConversion"/>
  </si>
  <si>
    <t>2013.3.4-2014.8.31</t>
    <phoneticPr fontId="14" type="noConversion"/>
  </si>
  <si>
    <t>杨永鑫</t>
    <phoneticPr fontId="14" type="noConversion"/>
  </si>
  <si>
    <t>2013.3.1/2013.8.8/2013.9.24/2013.10.23/2014.1.9</t>
    <phoneticPr fontId="14" type="noConversion"/>
  </si>
  <si>
    <t>2013.3.4-2013.12.31-2014.8.31</t>
    <phoneticPr fontId="14" type="noConversion"/>
  </si>
  <si>
    <t>齐乐怡</t>
    <phoneticPr fontId="14" type="noConversion"/>
  </si>
  <si>
    <t>2012.7.7/2013.3.4/2013.8.9/2013.10.29/2013.12.13/2013.12.27</t>
    <phoneticPr fontId="14" type="noConversion"/>
  </si>
  <si>
    <t>2013.3.4-2014.2.28</t>
    <phoneticPr fontId="14" type="noConversion"/>
  </si>
  <si>
    <t>2013.4.1-2014.1.31</t>
    <phoneticPr fontId="14" type="noConversion"/>
  </si>
  <si>
    <t>格尔雅丹</t>
    <phoneticPr fontId="14" type="noConversion"/>
  </si>
  <si>
    <t>2013.2.27/2013.3.27/2013.4.22/2013.8.26/2013.10.28/2014.2.18</t>
    <phoneticPr fontId="14" type="noConversion"/>
  </si>
  <si>
    <t>余静涵</t>
    <phoneticPr fontId="14" type="noConversion"/>
  </si>
  <si>
    <t>2013.2.26/2013.5.3/2013.5.20/2013.6.28/2013.8.21/2014.2.24</t>
    <phoneticPr fontId="14" type="noConversion"/>
  </si>
  <si>
    <t>肖云泰</t>
    <phoneticPr fontId="14" type="noConversion"/>
  </si>
  <si>
    <t>2013.3.21/2013.8.14</t>
    <phoneticPr fontId="14" type="noConversion"/>
  </si>
  <si>
    <t>钟艺宝</t>
    <phoneticPr fontId="14" type="noConversion"/>
  </si>
  <si>
    <t>2013.3.28/2013.4.25/2013.9.2/2013.10.23/2014.1.7</t>
    <phoneticPr fontId="14" type="noConversion"/>
  </si>
  <si>
    <t>李雨燕</t>
    <phoneticPr fontId="14" type="noConversion"/>
  </si>
  <si>
    <t>2013.3.28/2013.5.24/2013.9.3/2014.1.14</t>
    <phoneticPr fontId="14" type="noConversion"/>
  </si>
  <si>
    <t>2013.4.1-2013.7.31/2013.9.1-2014.8.31</t>
    <phoneticPr fontId="14" type="noConversion"/>
  </si>
  <si>
    <t>姜梓芽</t>
    <phoneticPr fontId="14" type="noConversion"/>
  </si>
  <si>
    <t>2012.12.31/2013.5.10/2013.5.16/2013.6.18/2013.7.16/2013.7.30/2013.10.16/2013.11.15/2013.12.26/2014.1.7/2014.5.27</t>
    <phoneticPr fontId="14" type="noConversion"/>
  </si>
  <si>
    <t>2014.6.1-2014.6.30</t>
    <phoneticPr fontId="14" type="noConversion"/>
  </si>
  <si>
    <t>张恩铜</t>
    <phoneticPr fontId="14" type="noConversion"/>
  </si>
  <si>
    <t>2013.4.25/2013.5.20/2013.6.28/2013.8.1/2013.9.9/2013.10.28/2013.12.31/2014.3.10</t>
    <phoneticPr fontId="14" type="noConversion"/>
  </si>
  <si>
    <t>2013.5.2-2014.8.31</t>
    <phoneticPr fontId="14" type="noConversion"/>
  </si>
  <si>
    <t>2013.5.2-2014.1.31/2014.3.1-2014.8.31</t>
    <phoneticPr fontId="14" type="noConversion"/>
  </si>
  <si>
    <t>何瑞希</t>
    <phoneticPr fontId="14" type="noConversion"/>
  </si>
  <si>
    <t>2013.5.10/2014.3.11</t>
    <phoneticPr fontId="14" type="noConversion"/>
  </si>
  <si>
    <t>2013.5.21-2014.8.31</t>
    <phoneticPr fontId="14" type="noConversion"/>
  </si>
  <si>
    <t>李思瑶</t>
    <phoneticPr fontId="14" type="noConversion"/>
  </si>
  <si>
    <t>2013.7.12/2013.11.26/2014.1.17</t>
    <phoneticPr fontId="14" type="noConversion"/>
  </si>
  <si>
    <t>2013.7.3-2014.8.31</t>
    <phoneticPr fontId="14" type="noConversion"/>
  </si>
  <si>
    <t>刘若水</t>
    <phoneticPr fontId="14" type="noConversion"/>
  </si>
  <si>
    <t>2012.11.19/2012.11.26/2013.7.22/2013.9.24/2014.3.27</t>
    <phoneticPr fontId="14" type="noConversion"/>
  </si>
  <si>
    <t>2013.8.1-2014.8.31</t>
    <phoneticPr fontId="14" type="noConversion"/>
  </si>
  <si>
    <t>郭启涵</t>
    <phoneticPr fontId="14" type="noConversion"/>
  </si>
  <si>
    <t>2013.7.11/2013.7.12/2013.8.23/2013.9.23/2013.11.5/2013.12.5/2013.12.24/2014.2.24</t>
    <phoneticPr fontId="14" type="noConversion"/>
  </si>
  <si>
    <t>2013.9.1-2014.2.28</t>
    <phoneticPr fontId="14" type="noConversion"/>
  </si>
  <si>
    <t>韩东昊</t>
    <phoneticPr fontId="14" type="noConversion"/>
  </si>
  <si>
    <t>2013.7.15/2013.9.4/2013.10.29/2014.3.6</t>
    <phoneticPr fontId="14" type="noConversion"/>
  </si>
  <si>
    <t>2013.8.1-2013.12.31/2014.3.1-2014.8.31</t>
    <phoneticPr fontId="14" type="noConversion"/>
  </si>
  <si>
    <t>2012-2-21/2013.8.19/2013.9.2/2013.9.17/2013.10.16/2014.2.19</t>
    <phoneticPr fontId="14" type="noConversion"/>
  </si>
  <si>
    <t>2013.9.1-2014.8.31</t>
    <phoneticPr fontId="14" type="noConversion"/>
  </si>
  <si>
    <t>2013.9.1-2013.11.30/2014.2.1-2014.8.31</t>
    <phoneticPr fontId="14" type="noConversion"/>
  </si>
  <si>
    <t>代铮</t>
    <phoneticPr fontId="14" type="noConversion"/>
  </si>
  <si>
    <t>2012.7.15/2012.7.28/2013.8.28/2014.1.2</t>
    <phoneticPr fontId="14" type="noConversion"/>
  </si>
  <si>
    <t>郗雅妍</t>
    <phoneticPr fontId="14" type="noConversion"/>
  </si>
  <si>
    <t>2013.2.22/2013.8.29/2013.9.23/2013.10.28/2014.1.13</t>
    <phoneticPr fontId="14" type="noConversion"/>
  </si>
  <si>
    <t>谭容致</t>
    <phoneticPr fontId="14" type="noConversion"/>
  </si>
  <si>
    <t>2013.2.27/2013.8.28/2013.10.18</t>
    <phoneticPr fontId="14" type="noConversion"/>
  </si>
  <si>
    <t>2013.9.1-2013.12.31/2014.5.1-2014.8.31</t>
    <phoneticPr fontId="14" type="noConversion"/>
  </si>
  <si>
    <t>沈佳璐</t>
    <phoneticPr fontId="14" type="noConversion"/>
  </si>
  <si>
    <t>2013.2.28/2013.8.29/2013.9.17/2013.10.18/2013.12.27/2014.1.13</t>
    <phoneticPr fontId="14" type="noConversion"/>
  </si>
  <si>
    <t>2014.3.1-2014.5.31</t>
    <phoneticPr fontId="14" type="noConversion"/>
  </si>
  <si>
    <t>郭静好</t>
    <phoneticPr fontId="14" type="noConversion"/>
  </si>
  <si>
    <t>2013.3.30/2013.4.1/2013.8.29/2014.1.27</t>
    <phoneticPr fontId="14" type="noConversion"/>
  </si>
  <si>
    <t>郭恺怡</t>
    <phoneticPr fontId="14" type="noConversion"/>
  </si>
  <si>
    <t>2013.4.27/2013.8.20/2013.9.24/2013.12.25/2014.1.14</t>
    <phoneticPr fontId="14" type="noConversion"/>
  </si>
  <si>
    <t>胡闻野</t>
    <phoneticPr fontId="14" type="noConversion"/>
  </si>
  <si>
    <t>2013.4.27/2013.8.21/2013.10.11/2014.1.7</t>
    <phoneticPr fontId="14" type="noConversion"/>
  </si>
  <si>
    <t>石悦湫</t>
    <phoneticPr fontId="14" type="noConversion"/>
  </si>
  <si>
    <t>2013.5.22/2013.9.25/2013.10.23/2014.2.25</t>
    <phoneticPr fontId="14" type="noConversion"/>
  </si>
  <si>
    <t>2013.9.1-2013.8.31</t>
    <phoneticPr fontId="14" type="noConversion"/>
  </si>
  <si>
    <t>王歧</t>
    <phoneticPr fontId="14" type="noConversion"/>
  </si>
  <si>
    <t>2013.5.24/2013.8.29/2014.1.6</t>
    <phoneticPr fontId="14" type="noConversion"/>
  </si>
  <si>
    <t>2013.9.1-2013.12.31/2014.3.1-2014.8.31</t>
    <phoneticPr fontId="14" type="noConversion"/>
  </si>
  <si>
    <t>王子帆</t>
    <phoneticPr fontId="14" type="noConversion"/>
  </si>
  <si>
    <t>2013.5.27/2013.8.30/2014.1.20</t>
    <phoneticPr fontId="14" type="noConversion"/>
  </si>
  <si>
    <t>楼思铭</t>
    <phoneticPr fontId="14" type="noConversion"/>
  </si>
  <si>
    <t>2013.5.31/2013.8.28/2013.9.22/2013.10.21/2013.11.18/2014.3.6</t>
    <phoneticPr fontId="14" type="noConversion"/>
  </si>
  <si>
    <t>黄若媛</t>
    <phoneticPr fontId="14" type="noConversion"/>
  </si>
  <si>
    <t>2013.6.4/2013.8.30/2013.12.23</t>
    <phoneticPr fontId="14" type="noConversion"/>
  </si>
  <si>
    <t>张新怡</t>
    <phoneticPr fontId="14" type="noConversion"/>
  </si>
  <si>
    <t>2013.6.17/2013.8.30/2013.11.18/2014.1.8</t>
    <phoneticPr fontId="14" type="noConversion"/>
  </si>
  <si>
    <t>李依霖</t>
    <phoneticPr fontId="14" type="noConversion"/>
  </si>
  <si>
    <t>2013.6.19/2013.9.2/2013.10.21/2013.11.21/2013.12.19/2014.1.14</t>
    <phoneticPr fontId="14" type="noConversion"/>
  </si>
  <si>
    <t>李语慧</t>
    <phoneticPr fontId="14" type="noConversion"/>
  </si>
  <si>
    <t>2013.3.28/2013.4.7/2014.1.14</t>
    <phoneticPr fontId="14" type="noConversion"/>
  </si>
  <si>
    <t>许泽宇</t>
    <phoneticPr fontId="14" type="noConversion"/>
  </si>
  <si>
    <t>2013.7.10/2013.9.16/2013.10.16/2014.2.18</t>
    <phoneticPr fontId="14" type="noConversion"/>
  </si>
  <si>
    <t>王祉洁</t>
    <phoneticPr fontId="14" type="noConversion"/>
  </si>
  <si>
    <t>2013.7.12/2013.8.21/2013.11.28/2013.12.31/2014.1.16</t>
    <phoneticPr fontId="14" type="noConversion"/>
  </si>
  <si>
    <t>2013.9.1-2014.1.31/2014.3.1-2014.8.31</t>
    <phoneticPr fontId="14" type="noConversion"/>
  </si>
  <si>
    <t>王祉诺</t>
    <phoneticPr fontId="14" type="noConversion"/>
  </si>
  <si>
    <t>2013.7.12/2013.8.21/2013.12.31/2014.1.16</t>
    <phoneticPr fontId="14" type="noConversion"/>
  </si>
  <si>
    <t>岳笑溦</t>
    <phoneticPr fontId="14" type="noConversion"/>
  </si>
  <si>
    <t>2013.7.15/2013.8.6/2013.9.17/2013.10.22/2014.3.6</t>
    <phoneticPr fontId="14" type="noConversion"/>
  </si>
  <si>
    <t>郑思腾</t>
    <phoneticPr fontId="14" type="noConversion"/>
  </si>
  <si>
    <t>2013.7.16/2013.8.27/2013.9.27/2013.10.16/2013.11.19/2014.1.6/2014.2.12</t>
    <phoneticPr fontId="14" type="noConversion"/>
  </si>
  <si>
    <t>刘子钧</t>
    <phoneticPr fontId="14" type="noConversion"/>
  </si>
  <si>
    <t>2013.7.18/2013.8.28/2014.1.13</t>
    <phoneticPr fontId="14" type="noConversion"/>
  </si>
  <si>
    <t>王惠萱</t>
    <phoneticPr fontId="14" type="noConversion"/>
  </si>
  <si>
    <t>2013.7.26/2013.9.3/2013.10.16/2013.10.31/2014.1.14</t>
    <phoneticPr fontId="14" type="noConversion"/>
  </si>
  <si>
    <t>周家萱</t>
    <phoneticPr fontId="14" type="noConversion"/>
  </si>
  <si>
    <t>2013.8.5/2013.9.16/2014.1.3</t>
    <phoneticPr fontId="14" type="noConversion"/>
  </si>
  <si>
    <t>周隽辉</t>
    <phoneticPr fontId="14" type="noConversion"/>
  </si>
  <si>
    <t>2013.8.13/2013.8.26/2013.9.24/2014.1.10</t>
    <phoneticPr fontId="14" type="noConversion"/>
  </si>
  <si>
    <t>季铄</t>
    <phoneticPr fontId="14" type="noConversion"/>
  </si>
  <si>
    <t>2013.8.19/2013.10.11/2014.4.1</t>
    <phoneticPr fontId="14" type="noConversion"/>
  </si>
  <si>
    <t>2013.9.1-2013.10.31/2014.4.1-2014.8.31</t>
    <phoneticPr fontId="14" type="noConversion"/>
  </si>
  <si>
    <t>苏洁</t>
    <phoneticPr fontId="14" type="noConversion"/>
  </si>
  <si>
    <t>2013.8.26/2013.9.16/2013.10.22/2013.12.12/2014.1.20</t>
    <phoneticPr fontId="14" type="noConversion"/>
  </si>
  <si>
    <t>杨天祎</t>
    <phoneticPr fontId="14" type="noConversion"/>
  </si>
  <si>
    <t>2013.8.27/2013.9.29/2013.11.15/2013.12.18/2014.2.17</t>
    <phoneticPr fontId="14" type="noConversion"/>
  </si>
  <si>
    <t>陆晟源</t>
    <phoneticPr fontId="14" type="noConversion"/>
  </si>
  <si>
    <t>2013.8.27/2014.1.9</t>
    <phoneticPr fontId="14" type="noConversion"/>
  </si>
  <si>
    <t>余若谷</t>
    <phoneticPr fontId="14" type="noConversion"/>
  </si>
  <si>
    <t>2013.8.30/2013.9.18/2013.10.14/2013.11.15/2013.12.16/2014.3.7</t>
    <phoneticPr fontId="14" type="noConversion"/>
  </si>
  <si>
    <t>2013.9.1-2013.12.31/2014.2.1-2014.8.31</t>
    <phoneticPr fontId="14" type="noConversion"/>
  </si>
  <si>
    <t>李雨瞳</t>
    <phoneticPr fontId="14" type="noConversion"/>
  </si>
  <si>
    <t>2013.8.26/2013.9.16/2013.12.26/2014.1.7/2014.4.30</t>
    <phoneticPr fontId="14" type="noConversion"/>
  </si>
  <si>
    <t>2014.5.1-2014.7.31</t>
    <phoneticPr fontId="14" type="noConversion"/>
  </si>
  <si>
    <t>郑天寿</t>
    <phoneticPr fontId="14" type="noConversion"/>
  </si>
  <si>
    <t>2013.7.10/2014.1.13</t>
    <phoneticPr fontId="14" type="noConversion"/>
  </si>
  <si>
    <t>2013.9.16-2014.8.31</t>
    <phoneticPr fontId="14" type="noConversion"/>
  </si>
  <si>
    <t>邱子桐</t>
    <phoneticPr fontId="14" type="noConversion"/>
  </si>
  <si>
    <t>2013.9.13/2014.1.20</t>
    <phoneticPr fontId="14" type="noConversion"/>
  </si>
  <si>
    <t>鄢方然</t>
    <phoneticPr fontId="14" type="noConversion"/>
  </si>
  <si>
    <t>2013.5.28/2013.8.26/2014.2.25</t>
    <phoneticPr fontId="14" type="noConversion"/>
  </si>
  <si>
    <t>2013.9.18-2014.8.31</t>
    <phoneticPr fontId="14" type="noConversion"/>
  </si>
  <si>
    <t>贠楚怀</t>
    <phoneticPr fontId="14" type="noConversion"/>
  </si>
  <si>
    <t>2013.11.11/2014.2.13</t>
    <phoneticPr fontId="14" type="noConversion"/>
  </si>
  <si>
    <t>2013.11.11-2014.8.31</t>
    <phoneticPr fontId="14" type="noConversion"/>
  </si>
  <si>
    <t>吴岳珩</t>
    <phoneticPr fontId="14" type="noConversion"/>
  </si>
  <si>
    <t>2013.12.26/2014.2.19</t>
    <phoneticPr fontId="14" type="noConversion"/>
  </si>
  <si>
    <t>2014.1.1-2014.8.31</t>
    <phoneticPr fontId="14" type="noConversion"/>
  </si>
  <si>
    <t>何奕阳</t>
    <phoneticPr fontId="14" type="noConversion"/>
  </si>
  <si>
    <t>2014.1.2</t>
    <phoneticPr fontId="14" type="noConversion"/>
  </si>
  <si>
    <t>2014.1.6-2014.8.31</t>
    <phoneticPr fontId="14" type="noConversion"/>
  </si>
  <si>
    <t>杨方妤</t>
    <phoneticPr fontId="14" type="noConversion"/>
  </si>
  <si>
    <t>2014.1.24/2014.2.12</t>
    <phoneticPr fontId="14" type="noConversion"/>
  </si>
  <si>
    <t>2014.4.1-2014.8.31</t>
    <phoneticPr fontId="14" type="noConversion"/>
  </si>
  <si>
    <t>2014.6.1-2014.8.31</t>
    <phoneticPr fontId="14" type="noConversion"/>
  </si>
  <si>
    <t>田昊宸</t>
    <phoneticPr fontId="14" type="noConversion"/>
  </si>
  <si>
    <t>2014.2.17/2014.3.19</t>
    <phoneticPr fontId="14" type="noConversion"/>
  </si>
  <si>
    <t>2014.2.19-2014.8.31</t>
    <phoneticPr fontId="14" type="noConversion"/>
  </si>
  <si>
    <t>赵心澈</t>
    <phoneticPr fontId="14" type="noConversion"/>
  </si>
  <si>
    <t>2013.10.31</t>
    <phoneticPr fontId="14" type="noConversion"/>
  </si>
  <si>
    <t>贾皓丞</t>
    <phoneticPr fontId="14" type="noConversion"/>
  </si>
  <si>
    <t>2013.3.21/2014.2.18</t>
    <phoneticPr fontId="14" type="noConversion"/>
  </si>
  <si>
    <t>崔菁洋</t>
    <phoneticPr fontId="14" type="noConversion"/>
  </si>
  <si>
    <t>2013.12.12/2014.2.26</t>
    <phoneticPr fontId="14" type="noConversion"/>
  </si>
  <si>
    <t>丁若宁</t>
    <phoneticPr fontId="14" type="noConversion"/>
  </si>
  <si>
    <t>2013.12.31/2014.2.20/2014.3.3</t>
    <phoneticPr fontId="14" type="noConversion"/>
  </si>
  <si>
    <t>陈玥含</t>
    <phoneticPr fontId="14" type="noConversion"/>
  </si>
  <si>
    <t>2013.12.31/2014.2.25</t>
    <phoneticPr fontId="14" type="noConversion"/>
  </si>
  <si>
    <t>高湲媛</t>
    <phoneticPr fontId="14" type="noConversion"/>
  </si>
  <si>
    <t>2013.12.24/2014.2.20</t>
    <phoneticPr fontId="14" type="noConversion"/>
  </si>
  <si>
    <t>张越宁</t>
    <phoneticPr fontId="14" type="noConversion"/>
  </si>
  <si>
    <t>2014.1.8/2014.1.27</t>
    <phoneticPr fontId="14" type="noConversion"/>
  </si>
  <si>
    <t>邢雨薇</t>
    <phoneticPr fontId="14" type="noConversion"/>
  </si>
  <si>
    <t>2014.1.15</t>
    <phoneticPr fontId="14" type="noConversion"/>
  </si>
  <si>
    <t>朱宣同</t>
    <phoneticPr fontId="14" type="noConversion"/>
  </si>
  <si>
    <t>2014.1.24/2014.2.20</t>
    <phoneticPr fontId="14" type="noConversion"/>
  </si>
  <si>
    <t>张奕彤</t>
    <phoneticPr fontId="14" type="noConversion"/>
  </si>
  <si>
    <t>2014.2.10</t>
    <phoneticPr fontId="14" type="noConversion"/>
  </si>
  <si>
    <t>赵玄烨</t>
    <phoneticPr fontId="14" type="noConversion"/>
  </si>
  <si>
    <t>孙慕诚</t>
    <phoneticPr fontId="14" type="noConversion"/>
  </si>
  <si>
    <t>2014.2.20</t>
    <phoneticPr fontId="14" type="noConversion"/>
  </si>
  <si>
    <t>马梓洋</t>
    <phoneticPr fontId="14" type="noConversion"/>
  </si>
  <si>
    <t>2014.2.24</t>
    <phoneticPr fontId="14" type="noConversion"/>
  </si>
  <si>
    <t>迟煜轩</t>
    <phoneticPr fontId="14" type="noConversion"/>
  </si>
  <si>
    <t>2014.2.17/2014.2.21</t>
    <phoneticPr fontId="14" type="noConversion"/>
  </si>
  <si>
    <t>梁田雨</t>
    <phoneticPr fontId="14" type="noConversion"/>
  </si>
  <si>
    <t>2014.2.19</t>
    <phoneticPr fontId="14" type="noConversion"/>
  </si>
  <si>
    <t>花羽</t>
    <phoneticPr fontId="14" type="noConversion"/>
  </si>
  <si>
    <t>吴泽远</t>
    <phoneticPr fontId="14" type="noConversion"/>
  </si>
  <si>
    <t>2014.2.26</t>
    <phoneticPr fontId="14" type="noConversion"/>
  </si>
  <si>
    <t>何泳君</t>
    <phoneticPr fontId="14" type="noConversion"/>
  </si>
  <si>
    <t>齐恩宁</t>
    <phoneticPr fontId="14" type="noConversion"/>
  </si>
  <si>
    <t>2013.9.9/2014.2.28/2014.3.18</t>
    <phoneticPr fontId="14" type="noConversion"/>
  </si>
  <si>
    <t>马睿</t>
    <phoneticPr fontId="14" type="noConversion"/>
  </si>
  <si>
    <t>2014.1.22/2014.2.21/2014.3.28</t>
    <phoneticPr fontId="14" type="noConversion"/>
  </si>
  <si>
    <t>任奕霏</t>
    <phoneticPr fontId="14" type="noConversion"/>
  </si>
  <si>
    <t>2014.5.1-2014.8.31</t>
    <phoneticPr fontId="14" type="noConversion"/>
  </si>
  <si>
    <t>吕祁</t>
    <phoneticPr fontId="14" type="noConversion"/>
  </si>
  <si>
    <t>2014.3.3</t>
    <phoneticPr fontId="14" type="noConversion"/>
  </si>
  <si>
    <t>李宣潼</t>
    <phoneticPr fontId="14" type="noConversion"/>
  </si>
  <si>
    <t>2014.3.11</t>
    <phoneticPr fontId="14" type="noConversion"/>
  </si>
  <si>
    <t>2014.3.12-2014.8.31</t>
    <phoneticPr fontId="14" type="noConversion"/>
  </si>
  <si>
    <t>孙墨涵</t>
    <phoneticPr fontId="14" type="noConversion"/>
  </si>
  <si>
    <t>2013.2.25</t>
    <phoneticPr fontId="14" type="noConversion"/>
  </si>
  <si>
    <t>韦祖诚</t>
    <phoneticPr fontId="14" type="noConversion"/>
  </si>
  <si>
    <t>2013.7.12</t>
    <phoneticPr fontId="14" type="noConversion"/>
  </si>
  <si>
    <t>慕容青蓝</t>
    <phoneticPr fontId="14" type="noConversion"/>
  </si>
  <si>
    <t>2013.12.24/2014.3.26</t>
    <phoneticPr fontId="14" type="noConversion"/>
  </si>
  <si>
    <t>马亦君</t>
    <phoneticPr fontId="14" type="noConversion"/>
  </si>
  <si>
    <t>2014.1.3/2014.2.17</t>
    <phoneticPr fontId="14" type="noConversion"/>
  </si>
  <si>
    <t>杨艾洲</t>
    <phoneticPr fontId="14" type="noConversion"/>
  </si>
  <si>
    <t>2014.2.26/2014.3.28</t>
    <phoneticPr fontId="14" type="noConversion"/>
  </si>
  <si>
    <t>赵子歌</t>
    <phoneticPr fontId="14" type="noConversion"/>
  </si>
  <si>
    <t>2014.2.28/2014.3.28</t>
    <phoneticPr fontId="14" type="noConversion"/>
  </si>
  <si>
    <t>杨晶迪</t>
    <phoneticPr fontId="14" type="noConversion"/>
  </si>
  <si>
    <t>2014.3.14/2014.3.28</t>
    <phoneticPr fontId="14" type="noConversion"/>
  </si>
  <si>
    <t>周子溪</t>
    <phoneticPr fontId="14" type="noConversion"/>
  </si>
  <si>
    <t>2014.3.19</t>
    <phoneticPr fontId="14" type="noConversion"/>
  </si>
  <si>
    <t>王奕天</t>
    <phoneticPr fontId="14" type="noConversion"/>
  </si>
  <si>
    <t>2014.4.4</t>
    <phoneticPr fontId="14" type="noConversion"/>
  </si>
  <si>
    <t>陈卓然</t>
    <phoneticPr fontId="14" type="noConversion"/>
  </si>
  <si>
    <t>2014.1.26/2014.3.27</t>
    <phoneticPr fontId="14" type="noConversion"/>
  </si>
  <si>
    <t>2014.4.21-2014.8.31</t>
    <phoneticPr fontId="14" type="noConversion"/>
  </si>
  <si>
    <t>姚昕雅</t>
    <phoneticPr fontId="14" type="noConversion"/>
  </si>
  <si>
    <t>杨沐晓晰</t>
    <phoneticPr fontId="14" type="noConversion"/>
  </si>
  <si>
    <t>2014.4.9/2014.4.30</t>
    <phoneticPr fontId="14" type="noConversion"/>
  </si>
  <si>
    <t>杨沐雨佳</t>
    <phoneticPr fontId="14" type="noConversion"/>
  </si>
  <si>
    <t>卢义涵</t>
    <phoneticPr fontId="14" type="noConversion"/>
  </si>
  <si>
    <t>2014.4.24</t>
    <phoneticPr fontId="14" type="noConversion"/>
  </si>
  <si>
    <t>商翊如</t>
    <phoneticPr fontId="14" type="noConversion"/>
  </si>
  <si>
    <t>邓远烁</t>
    <phoneticPr fontId="14" type="noConversion"/>
  </si>
  <si>
    <t>2014.4.15</t>
    <phoneticPr fontId="14" type="noConversion"/>
  </si>
  <si>
    <t>秦熠璨</t>
    <phoneticPr fontId="14" type="noConversion"/>
  </si>
  <si>
    <t>2014.4.16</t>
    <phoneticPr fontId="14" type="noConversion"/>
  </si>
  <si>
    <t>董晋</t>
    <phoneticPr fontId="14" type="noConversion"/>
  </si>
  <si>
    <t>陈星宇</t>
    <phoneticPr fontId="14" type="noConversion"/>
  </si>
  <si>
    <t>张博熙</t>
    <phoneticPr fontId="14" type="noConversion"/>
  </si>
  <si>
    <t>2014.4.25</t>
    <phoneticPr fontId="14" type="noConversion"/>
  </si>
  <si>
    <t>邓峻泽</t>
    <phoneticPr fontId="14" type="noConversion"/>
  </si>
  <si>
    <t>2014.5.5</t>
    <phoneticPr fontId="14" type="noConversion"/>
  </si>
  <si>
    <t>曹馨心</t>
    <phoneticPr fontId="14" type="noConversion"/>
  </si>
  <si>
    <t>2014.5.8</t>
    <phoneticPr fontId="14" type="noConversion"/>
  </si>
  <si>
    <t>高睿瞳</t>
    <phoneticPr fontId="14" type="noConversion"/>
  </si>
  <si>
    <t>2014.4.29</t>
    <phoneticPr fontId="14" type="noConversion"/>
  </si>
  <si>
    <t>程子涵</t>
    <phoneticPr fontId="14" type="noConversion"/>
  </si>
  <si>
    <t>2014.2.27</t>
    <phoneticPr fontId="14" type="noConversion"/>
  </si>
  <si>
    <t>谢晓言</t>
    <phoneticPr fontId="14" type="noConversion"/>
  </si>
  <si>
    <t>2014.1.10</t>
    <phoneticPr fontId="14" type="noConversion"/>
  </si>
  <si>
    <t>YBS</t>
    <phoneticPr fontId="14" type="noConversion"/>
  </si>
  <si>
    <t>预备生</t>
    <phoneticPr fontId="14" type="noConversion"/>
  </si>
  <si>
    <t>姜紫盈</t>
    <phoneticPr fontId="14" type="noConversion"/>
  </si>
  <si>
    <t>2012.9.7</t>
    <phoneticPr fontId="14" type="noConversion"/>
  </si>
  <si>
    <t>张洛溪</t>
    <phoneticPr fontId="14" type="noConversion"/>
  </si>
  <si>
    <t>2013.2.28</t>
    <phoneticPr fontId="14" type="noConversion"/>
  </si>
  <si>
    <t>王婧晞</t>
    <phoneticPr fontId="14" type="noConversion"/>
  </si>
  <si>
    <t>2013.12.9</t>
    <phoneticPr fontId="14" type="noConversion"/>
  </si>
  <si>
    <t>2014.9.1-2015.2.28</t>
    <phoneticPr fontId="14" type="noConversion"/>
  </si>
  <si>
    <t>徐晨睿</t>
    <phoneticPr fontId="14" type="noConversion"/>
  </si>
  <si>
    <t>2013.12.30</t>
    <phoneticPr fontId="14" type="noConversion"/>
  </si>
  <si>
    <t>李泽晨</t>
    <phoneticPr fontId="14" type="noConversion"/>
  </si>
  <si>
    <t>王芷乔</t>
    <phoneticPr fontId="14" type="noConversion"/>
  </si>
  <si>
    <t>冯驰予</t>
    <phoneticPr fontId="14" type="noConversion"/>
  </si>
  <si>
    <t>2014.2.13</t>
    <phoneticPr fontId="14" type="noConversion"/>
  </si>
  <si>
    <t>孙毅鸣</t>
    <phoneticPr fontId="14" type="noConversion"/>
  </si>
  <si>
    <t>2014.2.28</t>
    <phoneticPr fontId="14" type="noConversion"/>
  </si>
  <si>
    <t>梁逸峰</t>
    <phoneticPr fontId="14" type="noConversion"/>
  </si>
  <si>
    <t>2015.3.1-2015.8.31</t>
    <phoneticPr fontId="14" type="noConversion"/>
  </si>
  <si>
    <t>李梓瑄</t>
    <phoneticPr fontId="14" type="noConversion"/>
  </si>
  <si>
    <t>赵康齐</t>
    <phoneticPr fontId="14" type="noConversion"/>
  </si>
  <si>
    <t>2014.3.25</t>
    <phoneticPr fontId="14" type="noConversion"/>
  </si>
  <si>
    <t>王煜炜</t>
    <phoneticPr fontId="14" type="noConversion"/>
  </si>
  <si>
    <t>2014.4.8</t>
    <phoneticPr fontId="14" type="noConversion"/>
  </si>
  <si>
    <t>2015.9.1-2016.2.28</t>
    <phoneticPr fontId="14" type="noConversion"/>
  </si>
  <si>
    <t>沈子渊</t>
    <phoneticPr fontId="14" type="noConversion"/>
  </si>
  <si>
    <t>2014.9.1-2014.12.31</t>
    <phoneticPr fontId="14" type="noConversion"/>
  </si>
  <si>
    <t>沈子涵</t>
    <phoneticPr fontId="14" type="noConversion"/>
  </si>
  <si>
    <t>洪蕴佳</t>
    <phoneticPr fontId="14" type="noConversion"/>
  </si>
  <si>
    <t>2014.4.21</t>
    <phoneticPr fontId="14" type="noConversion"/>
  </si>
  <si>
    <t>宋莉宏</t>
    <phoneticPr fontId="14" type="noConversion"/>
  </si>
  <si>
    <t>2014.3.4</t>
    <phoneticPr fontId="14" type="noConversion"/>
  </si>
  <si>
    <t>2014.7.1-2014.8.31</t>
    <phoneticPr fontId="14" type="noConversion"/>
  </si>
  <si>
    <t>高楚涵</t>
    <phoneticPr fontId="14" type="noConversion"/>
  </si>
  <si>
    <t>李亦桐</t>
    <phoneticPr fontId="14" type="noConversion"/>
  </si>
  <si>
    <t>崔宇涵</t>
    <phoneticPr fontId="14" type="noConversion"/>
  </si>
  <si>
    <t>2014.4.30</t>
    <phoneticPr fontId="14" type="noConversion"/>
  </si>
  <si>
    <t>陈木子</t>
    <phoneticPr fontId="14" type="noConversion"/>
  </si>
  <si>
    <t>2015.5.1-2015.8.31</t>
    <phoneticPr fontId="14" type="noConversion"/>
  </si>
  <si>
    <t>张凌睿</t>
    <phoneticPr fontId="14" type="noConversion"/>
  </si>
  <si>
    <t>2014.5.21</t>
    <phoneticPr fontId="14" type="noConversion"/>
  </si>
  <si>
    <t>李咏道</t>
    <phoneticPr fontId="14" type="noConversion"/>
  </si>
  <si>
    <t>2014.5.22</t>
    <phoneticPr fontId="14" type="noConversion"/>
  </si>
  <si>
    <t>刘天澈</t>
    <phoneticPr fontId="14" type="noConversion"/>
  </si>
  <si>
    <t>2014.5.26</t>
    <phoneticPr fontId="14" type="noConversion"/>
  </si>
  <si>
    <t>王子章</t>
    <phoneticPr fontId="14" type="noConversion"/>
  </si>
  <si>
    <t>2014.5.27</t>
    <phoneticPr fontId="14" type="noConversion"/>
  </si>
  <si>
    <t>郑沈子卿</t>
    <phoneticPr fontId="14" type="noConversion"/>
  </si>
  <si>
    <t>2014.5.28</t>
    <phoneticPr fontId="14" type="noConversion"/>
  </si>
  <si>
    <t>李卓雅</t>
    <phoneticPr fontId="14" type="noConversion"/>
  </si>
  <si>
    <t>2014.6.3</t>
    <phoneticPr fontId="14" type="noConversion"/>
  </si>
  <si>
    <t>叶彦博</t>
    <phoneticPr fontId="14" type="noConversion"/>
  </si>
  <si>
    <t>雷济丞</t>
    <phoneticPr fontId="14" type="noConversion"/>
  </si>
  <si>
    <t>2014.6.10</t>
    <phoneticPr fontId="14" type="noConversion"/>
  </si>
  <si>
    <t>贾紫茜</t>
    <phoneticPr fontId="14" type="noConversion"/>
  </si>
  <si>
    <t>2014.6.11</t>
    <phoneticPr fontId="14" type="noConversion"/>
  </si>
  <si>
    <t>2014.7.1-2015.2.28</t>
    <phoneticPr fontId="14" type="noConversion"/>
  </si>
  <si>
    <t>章雅宁</t>
    <phoneticPr fontId="14" type="noConversion"/>
  </si>
  <si>
    <t>2014.6.12</t>
    <phoneticPr fontId="14" type="noConversion"/>
  </si>
  <si>
    <t>柯暮铎</t>
    <phoneticPr fontId="14" type="noConversion"/>
  </si>
  <si>
    <t>TFS</t>
    <phoneticPr fontId="14" type="noConversion"/>
  </si>
  <si>
    <t>丁鸿政</t>
    <phoneticPr fontId="14" type="noConversion"/>
  </si>
  <si>
    <t>2011.9.5-2012.8.31</t>
    <phoneticPr fontId="14" type="noConversion"/>
  </si>
  <si>
    <t>钱悦然</t>
    <phoneticPr fontId="14" type="noConversion"/>
  </si>
  <si>
    <t>马骞一</t>
    <phoneticPr fontId="14" type="noConversion"/>
  </si>
  <si>
    <r>
      <t>2011/9/3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2011/11/28</t>
    </r>
    <phoneticPr fontId="14" type="noConversion"/>
  </si>
  <si>
    <t>2011.12.1-2012.1.31</t>
    <phoneticPr fontId="14" type="noConversion"/>
  </si>
  <si>
    <r>
      <t>2011/9/5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2011/11/21</t>
    </r>
    <phoneticPr fontId="14" type="noConversion"/>
  </si>
  <si>
    <t>2011.9.5-2012.6.30</t>
    <phoneticPr fontId="14" type="noConversion"/>
  </si>
  <si>
    <t>2011.12.1-2012.8.31</t>
    <phoneticPr fontId="14" type="noConversion"/>
  </si>
  <si>
    <t>2012.3.1-2012.8.31</t>
    <phoneticPr fontId="14" type="noConversion"/>
  </si>
  <si>
    <r>
      <t>2012/2/27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2012/3/23</t>
    </r>
    <phoneticPr fontId="14" type="noConversion"/>
  </si>
  <si>
    <t>2012.3.26-2012.6.30</t>
    <phoneticPr fontId="14" type="noConversion"/>
  </si>
  <si>
    <t>梁书华</t>
    <phoneticPr fontId="14" type="noConversion"/>
  </si>
  <si>
    <t>樊昱彤</t>
    <phoneticPr fontId="14" type="noConversion"/>
  </si>
  <si>
    <t>退费</t>
    <phoneticPr fontId="14" type="noConversion"/>
  </si>
  <si>
    <t>2012.4.1-2012.9.30</t>
    <phoneticPr fontId="14" type="noConversion"/>
  </si>
  <si>
    <t>张泽晗</t>
    <phoneticPr fontId="14" type="noConversion"/>
  </si>
  <si>
    <t>2012.5.1-2012.10.31</t>
    <phoneticPr fontId="14" type="noConversion"/>
  </si>
  <si>
    <t>张泽昊</t>
    <phoneticPr fontId="14" type="noConversion"/>
  </si>
  <si>
    <t>2012.5.1-2012.8.31</t>
    <phoneticPr fontId="14" type="noConversion"/>
  </si>
  <si>
    <t>2012.9.1-2012.12.31</t>
    <phoneticPr fontId="14" type="noConversion"/>
  </si>
  <si>
    <t>2012.5.1-2012.6.30</t>
    <phoneticPr fontId="14" type="noConversion"/>
  </si>
  <si>
    <t>王晨瑜</t>
    <phoneticPr fontId="14" type="noConversion"/>
  </si>
  <si>
    <t>2012-5-8/2012.8.6</t>
    <phoneticPr fontId="14" type="noConversion"/>
  </si>
  <si>
    <t>2012.5.1-2012.5.31/2012.8.1-2013.8.31</t>
    <phoneticPr fontId="14" type="noConversion"/>
  </si>
  <si>
    <t>段苏桐</t>
    <phoneticPr fontId="14" type="noConversion"/>
  </si>
  <si>
    <r>
      <t>2012/5/7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2012/6/7/2012.8.27</t>
    </r>
    <phoneticPr fontId="14" type="noConversion"/>
  </si>
  <si>
    <t>2012.5.1-2013.2.28</t>
    <phoneticPr fontId="14" type="noConversion"/>
  </si>
  <si>
    <t>退费生</t>
    <phoneticPr fontId="14" type="noConversion"/>
  </si>
  <si>
    <t>吕志远</t>
    <phoneticPr fontId="14" type="noConversion"/>
  </si>
  <si>
    <t>2012.7.15</t>
    <phoneticPr fontId="14" type="noConversion"/>
  </si>
  <si>
    <t>陈泊良</t>
    <phoneticPr fontId="14" type="noConversion"/>
  </si>
  <si>
    <t>依辛樾</t>
    <phoneticPr fontId="14" type="noConversion"/>
  </si>
  <si>
    <t>2012.7.21</t>
    <phoneticPr fontId="14" type="noConversion"/>
  </si>
  <si>
    <t>吴奕辰</t>
    <phoneticPr fontId="14" type="noConversion"/>
  </si>
  <si>
    <t>程禹赫</t>
    <phoneticPr fontId="14" type="noConversion"/>
  </si>
  <si>
    <t>吴芷萱</t>
    <phoneticPr fontId="14" type="noConversion"/>
  </si>
  <si>
    <t>2012.7.28/2012.8.3</t>
    <phoneticPr fontId="14" type="noConversion"/>
  </si>
  <si>
    <t>2012.9.1-2013.8.31</t>
    <phoneticPr fontId="14" type="noConversion"/>
  </si>
  <si>
    <t>2012.9.1-2012.11.30</t>
    <phoneticPr fontId="14" type="noConversion"/>
  </si>
  <si>
    <t>刘瑾宸</t>
    <phoneticPr fontId="14" type="noConversion"/>
  </si>
  <si>
    <t>2012.7.30</t>
    <phoneticPr fontId="14" type="noConversion"/>
  </si>
  <si>
    <t>梁雅媛</t>
    <phoneticPr fontId="14" type="noConversion"/>
  </si>
  <si>
    <t>2012.8.18</t>
    <phoneticPr fontId="14" type="noConversion"/>
  </si>
  <si>
    <t>王雅涵</t>
    <phoneticPr fontId="14" type="noConversion"/>
  </si>
  <si>
    <t>2012-7-6/2012.10.31</t>
    <phoneticPr fontId="14" type="noConversion"/>
  </si>
  <si>
    <t>2012.11.1-2012.11.30</t>
    <phoneticPr fontId="14" type="noConversion"/>
  </si>
  <si>
    <t>李尚朴</t>
    <phoneticPr fontId="14" type="noConversion"/>
  </si>
  <si>
    <t>2012.10.11/2012.11.22</t>
    <phoneticPr fontId="14" type="noConversion"/>
  </si>
  <si>
    <t>2012.11.1-2012.12.31</t>
    <phoneticPr fontId="14" type="noConversion"/>
  </si>
  <si>
    <t>孟子盛</t>
    <phoneticPr fontId="14" type="noConversion"/>
  </si>
  <si>
    <t>张玮祺</t>
    <phoneticPr fontId="14" type="noConversion"/>
  </si>
  <si>
    <t>2012.8.31/2012.9.6</t>
    <phoneticPr fontId="14" type="noConversion"/>
  </si>
  <si>
    <t>林子懿</t>
    <phoneticPr fontId="14" type="noConversion"/>
  </si>
  <si>
    <r>
      <t>2011/10/31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2011/11/17/2012.9.3/2012.9.19/2012.10.24/2012.11.21/2012.12.25/2013.1.23</t>
    </r>
    <phoneticPr fontId="14" type="noConversion"/>
  </si>
  <si>
    <t>2011.11.1-2013.2.28</t>
    <phoneticPr fontId="14" type="noConversion"/>
  </si>
  <si>
    <t>2011.12.1-2013.2.28</t>
    <phoneticPr fontId="14" type="noConversion"/>
  </si>
  <si>
    <t>马天则</t>
    <phoneticPr fontId="14" type="noConversion"/>
  </si>
  <si>
    <t>2012-2-27/2012.8.27/2012.9.28</t>
    <phoneticPr fontId="14" type="noConversion"/>
  </si>
  <si>
    <t>2012.3.1-2013.2.28</t>
    <phoneticPr fontId="14" type="noConversion"/>
  </si>
  <si>
    <t>李心洁</t>
    <phoneticPr fontId="14" type="noConversion"/>
  </si>
  <si>
    <t>2012.7.30/2012.8.14/2012.10.17</t>
    <phoneticPr fontId="14" type="noConversion"/>
  </si>
  <si>
    <t>杨悦嘉</t>
    <phoneticPr fontId="14" type="noConversion"/>
  </si>
  <si>
    <t>2012.8.31/2012.9.24</t>
    <phoneticPr fontId="14" type="noConversion"/>
  </si>
  <si>
    <t>2012.9.1-2012.9.30</t>
    <phoneticPr fontId="14" type="noConversion"/>
  </si>
  <si>
    <t>2012.9.1-2012.10.31</t>
    <phoneticPr fontId="14" type="noConversion"/>
  </si>
  <si>
    <t>杨悦成</t>
    <phoneticPr fontId="14" type="noConversion"/>
  </si>
  <si>
    <t>李诺琦</t>
    <phoneticPr fontId="14" type="noConversion"/>
  </si>
  <si>
    <t>2013.3.23</t>
    <phoneticPr fontId="14" type="noConversion"/>
  </si>
  <si>
    <t>未入园</t>
    <phoneticPr fontId="14" type="noConversion"/>
  </si>
  <si>
    <t>2013.4.1-2013.8.31</t>
    <phoneticPr fontId="14" type="noConversion"/>
  </si>
  <si>
    <t>王天浩</t>
    <phoneticPr fontId="14" type="noConversion"/>
  </si>
  <si>
    <t>2012.11.5/2012.11.23/2012.12.19/2013.1.25</t>
    <phoneticPr fontId="14" type="noConversion"/>
  </si>
  <si>
    <t>2012.11.6-2013.3.31</t>
    <phoneticPr fontId="14" type="noConversion"/>
  </si>
  <si>
    <t>2012.11.6-2013.7.31</t>
    <phoneticPr fontId="14" type="noConversion"/>
  </si>
  <si>
    <t>梁毓琪</t>
    <phoneticPr fontId="14" type="noConversion"/>
  </si>
  <si>
    <t>2012.7.7</t>
    <phoneticPr fontId="14" type="noConversion"/>
  </si>
  <si>
    <t>刘蕊安</t>
    <phoneticPr fontId="14" type="noConversion"/>
  </si>
  <si>
    <t>2012.10.8/2012.10.22/2012.11.22/2012.12.31/2013.1.21/2013.3.11</t>
    <phoneticPr fontId="14" type="noConversion"/>
  </si>
  <si>
    <t>2012.10.8-2013.8.31</t>
    <phoneticPr fontId="14" type="noConversion"/>
  </si>
  <si>
    <t>2012.10.8-2013.7.31</t>
    <phoneticPr fontId="14" type="noConversion"/>
  </si>
  <si>
    <t>江家慧</t>
    <phoneticPr fontId="14" type="noConversion"/>
  </si>
  <si>
    <t>2012-6-30/2012.7.4/2012.7.21/2012.8.24/2012.10.8/2012.10.16/2012.11.13/2013.3.4/2013.3.15/2013.4.28</t>
    <phoneticPr fontId="14" type="noConversion"/>
  </si>
  <si>
    <t>2012.8.1-2013.6.30</t>
    <phoneticPr fontId="14" type="noConversion"/>
  </si>
  <si>
    <t>2012.8.1-2013.7.31</t>
    <phoneticPr fontId="14" type="noConversion"/>
  </si>
  <si>
    <t>狄禹廷</t>
    <phoneticPr fontId="14" type="noConversion"/>
  </si>
  <si>
    <t>2012-7-3/2012.8.25/2012.9.25/2012.10.17/2012.11.22/2012.12.25/2013.3.11/2013.4.28/2013.6.25</t>
    <phoneticPr fontId="14" type="noConversion"/>
  </si>
  <si>
    <t>2012.9.1-2014.7.31</t>
    <phoneticPr fontId="14" type="noConversion"/>
  </si>
  <si>
    <t>2012.9.1-2013.1.31/2013.3.1-2013.7.31</t>
    <phoneticPr fontId="14" type="noConversion"/>
  </si>
  <si>
    <t>符子安</t>
    <phoneticPr fontId="14" type="noConversion"/>
  </si>
  <si>
    <t>2012.9.4/2012.12.17</t>
    <phoneticPr fontId="14" type="noConversion"/>
  </si>
  <si>
    <t>李炫亨</t>
    <phoneticPr fontId="14" type="noConversion"/>
  </si>
  <si>
    <t>2013.2.28/2013.4.3/2013.5.3/2013.5.23</t>
    <phoneticPr fontId="14" type="noConversion"/>
  </si>
  <si>
    <t>2013.3.4-2013.8.31</t>
    <phoneticPr fontId="14" type="noConversion"/>
  </si>
  <si>
    <t>陈美旗</t>
    <phoneticPr fontId="14" type="noConversion"/>
  </si>
  <si>
    <t>2012.10.8/2012.10.26/2012.11.22/2012.12.19/2013.3.7/2013.8.28</t>
    <phoneticPr fontId="14" type="noConversion"/>
  </si>
  <si>
    <t>王释棋</t>
    <phoneticPr fontId="14" type="noConversion"/>
  </si>
  <si>
    <t>2013.5.31/2013.7.29</t>
    <phoneticPr fontId="14" type="noConversion"/>
  </si>
  <si>
    <t>2013.6.18-2013.8.31</t>
    <phoneticPr fontId="14" type="noConversion"/>
  </si>
  <si>
    <t>杜雨函</t>
    <phoneticPr fontId="14" type="noConversion"/>
  </si>
  <si>
    <t>2012-6-25/2012.7.212012.9.24/2012.10.26/2012.11.22/2012.12.25/2013.3.7</t>
    <phoneticPr fontId="14" type="noConversion"/>
  </si>
  <si>
    <t>2012.8.1-2013.8.31</t>
    <phoneticPr fontId="14" type="noConversion"/>
  </si>
  <si>
    <t>王瀚雪</t>
    <phoneticPr fontId="14" type="noConversion"/>
  </si>
  <si>
    <t>2012.7.27</t>
    <phoneticPr fontId="14" type="noConversion"/>
  </si>
  <si>
    <t>郑午</t>
    <phoneticPr fontId="14" type="noConversion"/>
  </si>
  <si>
    <t>2013.3.30/2013.4.1/2013.4.24</t>
    <phoneticPr fontId="14" type="noConversion"/>
  </si>
  <si>
    <t>2013.4.2-2013.8.31</t>
    <phoneticPr fontId="14" type="noConversion"/>
  </si>
  <si>
    <t>熊梓超</t>
    <phoneticPr fontId="14" type="noConversion"/>
  </si>
  <si>
    <t>2012.8.8/2012.8.18/2012.10.17/2012.11.22/2012.12.13/2013.3.1/2013.5.6</t>
    <phoneticPr fontId="14" type="noConversion"/>
  </si>
  <si>
    <t>2012.8.20-2013.8.31</t>
    <phoneticPr fontId="14" type="noConversion"/>
  </si>
  <si>
    <t>2012.9.1-2013.4.30</t>
    <phoneticPr fontId="14" type="noConversion"/>
  </si>
  <si>
    <t>蔡新龙</t>
    <phoneticPr fontId="14" type="noConversion"/>
  </si>
  <si>
    <t>2012-6-21/2012.9.26/2012.10.29/2012.11.19/2012.12.14/2013.1.11/2013.3.7/2013.4.17/2013.5.102013.6.17/2013.7.29</t>
    <phoneticPr fontId="14" type="noConversion"/>
  </si>
  <si>
    <t>2012-5-2/2012.8.30/2013.3.22/2013.7.10</t>
    <phoneticPr fontId="14" type="noConversion"/>
  </si>
  <si>
    <t>税梓航</t>
    <phoneticPr fontId="14" type="noConversion"/>
  </si>
  <si>
    <t>2012.11.27/2012.12.18</t>
    <phoneticPr fontId="14" type="noConversion"/>
  </si>
  <si>
    <t>2012.12.3-2013.8.31</t>
    <phoneticPr fontId="14" type="noConversion"/>
  </si>
  <si>
    <t>2012.12.3-2013.1.31/2013.6.1-2013.8.31</t>
    <phoneticPr fontId="14" type="noConversion"/>
  </si>
  <si>
    <t>贾皓然</t>
    <phoneticPr fontId="14" type="noConversion"/>
  </si>
  <si>
    <r>
      <t>2011/9/5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2011/11/24/2012.8.28/2012.9.27/2012.11.13/2013.3.14/2013.5.23/2013.8.12</t>
    </r>
    <phoneticPr fontId="14" type="noConversion"/>
  </si>
  <si>
    <t>2011.9.5-2013.8.31</t>
    <phoneticPr fontId="14" type="noConversion"/>
  </si>
  <si>
    <t>2011.12.1-2012.1.31/2012.9.1-2013.5.31</t>
    <phoneticPr fontId="14" type="noConversion"/>
  </si>
  <si>
    <t>杨秉昊</t>
    <phoneticPr fontId="14" type="noConversion"/>
  </si>
  <si>
    <t>2012-2-14/2012.8.31/2012.11.8/2013.3.1</t>
    <phoneticPr fontId="14" type="noConversion"/>
  </si>
  <si>
    <t>2012.3.1-2013.8.31</t>
    <phoneticPr fontId="14" type="noConversion"/>
  </si>
  <si>
    <t>邹昊</t>
    <phoneticPr fontId="14" type="noConversion"/>
  </si>
  <si>
    <t>2013.2.23/2013.3.19/2013.4.17</t>
    <phoneticPr fontId="14" type="noConversion"/>
  </si>
  <si>
    <t>2013.3.1-2013.8.31</t>
    <phoneticPr fontId="14" type="noConversion"/>
  </si>
  <si>
    <t>谢佳翊</t>
    <phoneticPr fontId="14" type="noConversion"/>
  </si>
  <si>
    <t>2012-6-16/2012.7.21/2013.2.27</t>
    <phoneticPr fontId="14" type="noConversion"/>
  </si>
  <si>
    <t>2012-5-2/2012.8.24/2012.9.28/2012.11.26/2013.3.11</t>
    <phoneticPr fontId="14" type="noConversion"/>
  </si>
  <si>
    <t>许连泽</t>
    <phoneticPr fontId="14" type="noConversion"/>
  </si>
  <si>
    <t>2012-5-3/2012.8.1/2013.3.5/2013.7.31</t>
    <phoneticPr fontId="14" type="noConversion"/>
  </si>
  <si>
    <t>2012.9.1-2013.7.31/</t>
    <phoneticPr fontId="14" type="noConversion"/>
  </si>
  <si>
    <t>苑馨月</t>
    <phoneticPr fontId="14" type="noConversion"/>
  </si>
  <si>
    <t>2011-8-30/2012.11.21/2013.3.21</t>
    <phoneticPr fontId="14" type="noConversion"/>
  </si>
  <si>
    <t>李弈霏</t>
    <phoneticPr fontId="14" type="noConversion"/>
  </si>
  <si>
    <r>
      <t>2012/4/1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2012/5/2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2012/9/5/2012.9.25/2012.10.25/2012.11.22/2013.1.6/2013.3.6/2013.3.22/2013.4.24/2013.5.21</t>
    </r>
    <phoneticPr fontId="14" type="noConversion"/>
  </si>
  <si>
    <t>2012.4.5-2013.8.31</t>
    <phoneticPr fontId="14" type="noConversion"/>
  </si>
  <si>
    <t>李弈霖</t>
    <phoneticPr fontId="14" type="noConversion"/>
  </si>
  <si>
    <r>
      <t>2012/4/1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2012/5/2</t>
    </r>
    <r>
      <rPr>
        <sz val="10"/>
        <color indexed="8"/>
        <rFont val="宋体"/>
        <family val="3"/>
        <charset val="134"/>
      </rPr>
      <t>、</t>
    </r>
    <r>
      <rPr>
        <sz val="10"/>
        <color indexed="8"/>
        <rFont val="Arial"/>
        <family val="2"/>
      </rPr>
      <t>2012/9/5/2012.9.25/2012.10.25/2012.11.22/2013.1.6/2013.3.62013.3.22/2013.5.21</t>
    </r>
    <phoneticPr fontId="14" type="noConversion"/>
  </si>
  <si>
    <t>鲁雨航</t>
    <phoneticPr fontId="14" type="noConversion"/>
  </si>
  <si>
    <t>2012-4-20/2012.9.13/2012.9.27/2012.10.24/2012.11.26/2013.4.3/2013.4.9/2013.5.16/2013.7.12</t>
    <phoneticPr fontId="14" type="noConversion"/>
  </si>
  <si>
    <t>2012.9.1-2013.7.31</t>
    <phoneticPr fontId="14" type="noConversion"/>
  </si>
  <si>
    <t>鲁雨帆</t>
    <phoneticPr fontId="14" type="noConversion"/>
  </si>
  <si>
    <t>王子希</t>
    <phoneticPr fontId="14" type="noConversion"/>
  </si>
  <si>
    <t>2012-6-30/2012.7.24/2013.2.27</t>
    <phoneticPr fontId="14" type="noConversion"/>
  </si>
  <si>
    <t>2012.8.1-2013.2.28</t>
    <phoneticPr fontId="14" type="noConversion"/>
  </si>
  <si>
    <t>王中山</t>
    <phoneticPr fontId="14" type="noConversion"/>
  </si>
  <si>
    <t>2012-6-30/2012.7.24/2013.2.27/2013.3.19</t>
    <phoneticPr fontId="14" type="noConversion"/>
  </si>
  <si>
    <r>
      <t>2012-2014</t>
    </r>
    <r>
      <rPr>
        <b/>
        <sz val="11"/>
        <color indexed="8"/>
        <rFont val="宋体"/>
        <family val="3"/>
        <charset val="134"/>
      </rPr>
      <t>学年</t>
    </r>
    <phoneticPr fontId="14" type="noConversion"/>
  </si>
  <si>
    <t>2014-2017学年合计</t>
    <phoneticPr fontId="14" type="noConversion"/>
  </si>
  <si>
    <t>总合计</t>
    <phoneticPr fontId="14" type="noConversion"/>
  </si>
  <si>
    <t>总计</t>
    <phoneticPr fontId="14" type="noConversion"/>
  </si>
  <si>
    <t>ZXS</t>
    <phoneticPr fontId="14" type="noConversion"/>
  </si>
  <si>
    <t>合计</t>
    <phoneticPr fontId="14" type="noConversion"/>
  </si>
  <si>
    <r>
      <t>2</t>
    </r>
    <r>
      <rPr>
        <sz val="11"/>
        <color indexed="8"/>
        <rFont val="宋体"/>
        <family val="3"/>
        <charset val="134"/>
      </rPr>
      <t>014.9.1-2015.2.28课外课收入</t>
    </r>
    <phoneticPr fontId="14" type="noConversion"/>
  </si>
  <si>
    <t>2014.9-2015.8</t>
    <phoneticPr fontId="14" type="noConversion"/>
  </si>
  <si>
    <t xml:space="preserve"> 2014.7-2015.6</t>
    <phoneticPr fontId="14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</si>
</sst>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#,##0.00_ "/>
  </numFmts>
  <fonts count="52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13"/>
      <name val="Arial"/>
      <family val="2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8"/>
      <name val="Arial"/>
      <family val="2"/>
    </font>
    <font>
      <sz val="10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宋体"/>
      <family val="3"/>
      <charset val="134"/>
    </font>
    <font>
      <b/>
      <sz val="11"/>
      <color indexed="8"/>
      <name val="方正舒体"/>
      <family val="3"/>
      <charset val="134"/>
    </font>
    <font>
      <sz val="9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name val="宋体"/>
      <family val="3"/>
      <charset val="134"/>
    </font>
    <font>
      <b/>
      <sz val="9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B0F0"/>
      <name val="Arial"/>
      <family val="2"/>
    </font>
    <font>
      <sz val="10"/>
      <color rgb="FF00B0F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rgb="FF00B0F0"/>
      <name val="宋体"/>
      <family val="3"/>
      <charset val="134"/>
    </font>
    <font>
      <sz val="10"/>
      <color indexed="13"/>
      <name val="Arial"/>
      <family val="2"/>
    </font>
    <font>
      <b/>
      <sz val="11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49" fontId="15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43" fontId="17" fillId="0" borderId="0" xfId="1" applyFont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43" fontId="15" fillId="0" borderId="1" xfId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43" fontId="17" fillId="0" borderId="1" xfId="1" applyFont="1" applyBorder="1" applyAlignment="1">
      <alignment horizontal="right" vertical="center"/>
    </xf>
    <xf numFmtId="0" fontId="21" fillId="3" borderId="1" xfId="0" applyFont="1" applyFill="1" applyBorder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177" fontId="17" fillId="0" borderId="1" xfId="1" applyNumberFormat="1" applyFont="1" applyBorder="1" applyAlignment="1">
      <alignment horizontal="right" vertical="center"/>
    </xf>
    <xf numFmtId="176" fontId="17" fillId="0" borderId="1" xfId="1" applyNumberFormat="1" applyFont="1" applyBorder="1" applyAlignment="1">
      <alignment horizontal="right" vertical="center"/>
    </xf>
    <xf numFmtId="49" fontId="0" fillId="0" borderId="0" xfId="0" applyNumberFormat="1">
      <alignment vertical="center"/>
    </xf>
    <xf numFmtId="0" fontId="26" fillId="0" borderId="0" xfId="0" applyFont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49" fontId="24" fillId="0" borderId="1" xfId="0" applyNumberFormat="1" applyFont="1" applyBorder="1" applyAlignment="1">
      <alignment horizontal="right" vertical="center"/>
    </xf>
    <xf numFmtId="49" fontId="24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43" fontId="24" fillId="0" borderId="0" xfId="1" applyFont="1" applyBorder="1" applyAlignment="1">
      <alignment horizontal="right" vertical="center"/>
    </xf>
    <xf numFmtId="49" fontId="23" fillId="0" borderId="0" xfId="0" applyNumberFormat="1" applyFont="1" applyAlignment="1">
      <alignment horizontal="right" vertical="center"/>
    </xf>
    <xf numFmtId="43" fontId="24" fillId="0" borderId="1" xfId="1" applyFont="1" applyBorder="1">
      <alignment vertical="center"/>
    </xf>
    <xf numFmtId="0" fontId="17" fillId="3" borderId="1" xfId="0" applyFont="1" applyFill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49" fontId="15" fillId="3" borderId="1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43" fontId="17" fillId="0" borderId="0" xfId="1" applyFont="1" applyBorder="1" applyAlignment="1">
      <alignment horizontal="right" vertical="center"/>
    </xf>
    <xf numFmtId="0" fontId="17" fillId="4" borderId="1" xfId="0" applyFont="1" applyFill="1" applyBorder="1" applyAlignment="1">
      <alignment horizontal="right" vertical="center"/>
    </xf>
    <xf numFmtId="43" fontId="17" fillId="4" borderId="1" xfId="1" applyFont="1" applyFill="1" applyBorder="1" applyAlignment="1">
      <alignment horizontal="right" vertical="center"/>
    </xf>
    <xf numFmtId="177" fontId="17" fillId="4" borderId="1" xfId="1" applyNumberFormat="1" applyFont="1" applyFill="1" applyBorder="1" applyAlignment="1">
      <alignment horizontal="right" vertical="center"/>
    </xf>
    <xf numFmtId="176" fontId="17" fillId="4" borderId="1" xfId="1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horizontal="right" vertical="center"/>
    </xf>
    <xf numFmtId="0" fontId="0" fillId="0" borderId="1" xfId="0" applyBorder="1">
      <alignment vertical="center"/>
    </xf>
    <xf numFmtId="0" fontId="20" fillId="4" borderId="1" xfId="0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43" fontId="17" fillId="2" borderId="1" xfId="1" applyFont="1" applyFill="1" applyBorder="1" applyAlignment="1">
      <alignment horizontal="right" vertical="center"/>
    </xf>
    <xf numFmtId="176" fontId="17" fillId="2" borderId="1" xfId="1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right" vertical="center"/>
    </xf>
    <xf numFmtId="43" fontId="15" fillId="2" borderId="1" xfId="1" applyFont="1" applyFill="1" applyBorder="1" applyAlignment="1">
      <alignment horizontal="right" vertical="center"/>
    </xf>
    <xf numFmtId="43" fontId="17" fillId="2" borderId="0" xfId="1" applyFont="1" applyFill="1" applyBorder="1" applyAlignment="1">
      <alignment horizontal="right" vertical="center"/>
    </xf>
    <xf numFmtId="43" fontId="17" fillId="2" borderId="0" xfId="1" applyFont="1" applyFill="1" applyAlignment="1">
      <alignment horizontal="right" vertical="center"/>
    </xf>
    <xf numFmtId="49" fontId="15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3" fontId="15" fillId="4" borderId="1" xfId="1" applyFont="1" applyFill="1" applyBorder="1" applyAlignment="1">
      <alignment horizontal="right" vertical="center"/>
    </xf>
    <xf numFmtId="43" fontId="17" fillId="4" borderId="0" xfId="1" applyFont="1" applyFill="1" applyBorder="1" applyAlignment="1">
      <alignment horizontal="right" vertical="center"/>
    </xf>
    <xf numFmtId="43" fontId="17" fillId="4" borderId="0" xfId="1" applyFont="1" applyFill="1" applyAlignment="1">
      <alignment horizontal="right" vertical="center"/>
    </xf>
    <xf numFmtId="43" fontId="20" fillId="4" borderId="1" xfId="1" applyFont="1" applyFill="1" applyBorder="1" applyAlignment="1">
      <alignment horizontal="center" vertical="center"/>
    </xf>
    <xf numFmtId="43" fontId="17" fillId="4" borderId="1" xfId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right" vertical="center"/>
    </xf>
    <xf numFmtId="0" fontId="20" fillId="5" borderId="1" xfId="0" applyFont="1" applyFill="1" applyBorder="1" applyAlignment="1">
      <alignment horizontal="center" vertical="center"/>
    </xf>
    <xf numFmtId="177" fontId="17" fillId="5" borderId="1" xfId="1" applyNumberFormat="1" applyFont="1" applyFill="1" applyBorder="1" applyAlignment="1">
      <alignment horizontal="right" vertical="center"/>
    </xf>
    <xf numFmtId="43" fontId="17" fillId="5" borderId="1" xfId="1" applyFont="1" applyFill="1" applyBorder="1" applyAlignment="1">
      <alignment horizontal="right" vertical="center"/>
    </xf>
    <xf numFmtId="176" fontId="17" fillId="5" borderId="1" xfId="1" applyNumberFormat="1" applyFont="1" applyFill="1" applyBorder="1" applyAlignment="1">
      <alignment horizontal="right" vertical="center"/>
    </xf>
    <xf numFmtId="0" fontId="17" fillId="5" borderId="0" xfId="0" applyFont="1" applyFill="1" applyAlignment="1">
      <alignment horizontal="right" vertical="center"/>
    </xf>
    <xf numFmtId="0" fontId="20" fillId="6" borderId="1" xfId="0" applyFont="1" applyFill="1" applyBorder="1" applyAlignment="1">
      <alignment horizontal="center" vertical="center"/>
    </xf>
    <xf numFmtId="43" fontId="17" fillId="6" borderId="1" xfId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3" fontId="30" fillId="4" borderId="1" xfId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4" fontId="17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4" fontId="17" fillId="5" borderId="1" xfId="0" applyNumberFormat="1" applyFont="1" applyFill="1" applyBorder="1" applyAlignment="1">
      <alignment horizontal="center" vertical="center"/>
    </xf>
    <xf numFmtId="176" fontId="20" fillId="4" borderId="1" xfId="0" applyNumberFormat="1" applyFont="1" applyFill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43" fontId="17" fillId="5" borderId="1" xfId="1" applyFont="1" applyFill="1" applyBorder="1" applyAlignment="1">
      <alignment horizontal="center" vertical="center"/>
    </xf>
    <xf numFmtId="43" fontId="17" fillId="0" borderId="1" xfId="1" applyFont="1" applyBorder="1" applyAlignment="1">
      <alignment horizontal="center" vertical="center"/>
    </xf>
    <xf numFmtId="43" fontId="17" fillId="0" borderId="0" xfId="1" applyFont="1" applyBorder="1" applyAlignment="1">
      <alignment horizontal="center" vertical="center"/>
    </xf>
    <xf numFmtId="43" fontId="17" fillId="0" borderId="0" xfId="1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76" fontId="17" fillId="0" borderId="1" xfId="1" applyNumberFormat="1" applyFont="1" applyBorder="1" applyAlignment="1">
      <alignment horizontal="center" vertical="center"/>
    </xf>
    <xf numFmtId="177" fontId="17" fillId="4" borderId="1" xfId="1" applyNumberFormat="1" applyFont="1" applyFill="1" applyBorder="1" applyAlignment="1">
      <alignment horizontal="center" vertical="center"/>
    </xf>
    <xf numFmtId="176" fontId="17" fillId="4" borderId="1" xfId="1" applyNumberFormat="1" applyFont="1" applyFill="1" applyBorder="1" applyAlignment="1">
      <alignment horizontal="center" vertical="center"/>
    </xf>
    <xf numFmtId="176" fontId="17" fillId="5" borderId="1" xfId="1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43" fontId="15" fillId="4" borderId="1" xfId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0" fillId="3" borderId="1" xfId="0" applyFont="1" applyFill="1" applyBorder="1" applyAlignment="1">
      <alignment horizontal="right" vertical="center"/>
    </xf>
    <xf numFmtId="49" fontId="0" fillId="0" borderId="1" xfId="0" applyNumberFormat="1" applyBorder="1">
      <alignment vertical="center"/>
    </xf>
    <xf numFmtId="177" fontId="17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3" fontId="17" fillId="4" borderId="0" xfId="1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23" fillId="0" borderId="1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1" xfId="0" applyFont="1" applyBorder="1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3" fontId="26" fillId="4" borderId="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3" fontId="15" fillId="0" borderId="1" xfId="1" applyFont="1" applyBorder="1" applyAlignment="1">
      <alignment vertical="center"/>
    </xf>
    <xf numFmtId="43" fontId="17" fillId="0" borderId="1" xfId="1" applyFont="1" applyBorder="1" applyAlignment="1">
      <alignment vertical="center"/>
    </xf>
    <xf numFmtId="43" fontId="17" fillId="4" borderId="1" xfId="1" applyFont="1" applyFill="1" applyBorder="1" applyAlignment="1">
      <alignment vertical="center"/>
    </xf>
    <xf numFmtId="176" fontId="17" fillId="0" borderId="1" xfId="1" applyNumberFormat="1" applyFont="1" applyBorder="1" applyAlignment="1">
      <alignment vertical="center"/>
    </xf>
    <xf numFmtId="177" fontId="17" fillId="4" borderId="1" xfId="1" applyNumberFormat="1" applyFont="1" applyFill="1" applyBorder="1" applyAlignment="1">
      <alignment vertical="center"/>
    </xf>
    <xf numFmtId="177" fontId="17" fillId="0" borderId="1" xfId="1" applyNumberFormat="1" applyFont="1" applyBorder="1" applyAlignment="1">
      <alignment vertical="center"/>
    </xf>
    <xf numFmtId="177" fontId="17" fillId="5" borderId="1" xfId="1" applyNumberFormat="1" applyFont="1" applyFill="1" applyBorder="1" applyAlignment="1">
      <alignment vertical="center"/>
    </xf>
    <xf numFmtId="176" fontId="17" fillId="0" borderId="1" xfId="0" applyNumberFormat="1" applyFont="1" applyBorder="1" applyAlignment="1">
      <alignment vertical="center"/>
    </xf>
    <xf numFmtId="43" fontId="17" fillId="0" borderId="0" xfId="1" applyFont="1" applyBorder="1" applyAlignment="1">
      <alignment vertical="center"/>
    </xf>
    <xf numFmtId="43" fontId="17" fillId="0" borderId="0" xfId="1" applyFont="1" applyAlignment="1">
      <alignment vertical="center"/>
    </xf>
    <xf numFmtId="43" fontId="20" fillId="0" borderId="0" xfId="1" applyFont="1" applyBorder="1" applyAlignment="1">
      <alignment vertical="center"/>
    </xf>
    <xf numFmtId="14" fontId="17" fillId="4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39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49" fontId="40" fillId="0" borderId="1" xfId="0" applyNumberFormat="1" applyFont="1" applyBorder="1">
      <alignment vertical="center"/>
    </xf>
    <xf numFmtId="0" fontId="41" fillId="0" borderId="1" xfId="0" applyFont="1" applyBorder="1" applyAlignment="1">
      <alignment horizontal="center" vertical="center"/>
    </xf>
    <xf numFmtId="0" fontId="42" fillId="7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3" fontId="16" fillId="0" borderId="1" xfId="1" applyFont="1" applyBorder="1" applyAlignment="1">
      <alignment vertical="center"/>
    </xf>
    <xf numFmtId="43" fontId="16" fillId="0" borderId="1" xfId="1" applyFont="1" applyBorder="1" applyAlignment="1">
      <alignment horizontal="center" vertical="center"/>
    </xf>
    <xf numFmtId="0" fontId="43" fillId="8" borderId="5" xfId="0" applyFont="1" applyFill="1" applyBorder="1" applyAlignment="1">
      <alignment horizontal="center" vertical="center"/>
    </xf>
    <xf numFmtId="49" fontId="44" fillId="8" borderId="1" xfId="0" applyNumberFormat="1" applyFont="1" applyFill="1" applyBorder="1" applyAlignment="1">
      <alignment horizontal="center" vertical="center"/>
    </xf>
    <xf numFmtId="43" fontId="45" fillId="8" borderId="1" xfId="1" applyFont="1" applyFill="1" applyBorder="1" applyAlignment="1">
      <alignment horizontal="right" vertical="center"/>
    </xf>
    <xf numFmtId="176" fontId="45" fillId="8" borderId="1" xfId="1" applyNumberFormat="1" applyFont="1" applyFill="1" applyBorder="1" applyAlignment="1">
      <alignment horizontal="right" vertical="center"/>
    </xf>
    <xf numFmtId="176" fontId="45" fillId="8" borderId="1" xfId="1" applyNumberFormat="1" applyFont="1" applyFill="1" applyBorder="1" applyAlignment="1">
      <alignment horizontal="center" vertical="center"/>
    </xf>
    <xf numFmtId="0" fontId="48" fillId="0" borderId="0" xfId="0" applyFont="1">
      <alignment vertical="center"/>
    </xf>
    <xf numFmtId="43" fontId="17" fillId="4" borderId="4" xfId="1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3" fontId="30" fillId="0" borderId="1" xfId="0" applyNumberFormat="1" applyFont="1" applyBorder="1" applyAlignment="1">
      <alignment horizontal="center" vertical="center"/>
    </xf>
    <xf numFmtId="0" fontId="49" fillId="7" borderId="1" xfId="0" applyFont="1" applyFill="1" applyBorder="1" applyAlignment="1">
      <alignment horizontal="center" vertical="center"/>
    </xf>
    <xf numFmtId="43" fontId="15" fillId="0" borderId="2" xfId="1" applyFont="1" applyBorder="1" applyAlignment="1">
      <alignment horizontal="center" vertical="center"/>
    </xf>
    <xf numFmtId="0" fontId="24" fillId="0" borderId="1" xfId="1" applyNumberFormat="1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43" fontId="50" fillId="2" borderId="1" xfId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176" fontId="50" fillId="2" borderId="1" xfId="1" applyNumberFormat="1" applyFont="1" applyFill="1" applyBorder="1" applyAlignment="1">
      <alignment horizontal="right" vertical="center"/>
    </xf>
    <xf numFmtId="176" fontId="17" fillId="0" borderId="1" xfId="0" applyNumberFormat="1" applyFont="1" applyBorder="1" applyAlignment="1">
      <alignment horizontal="right" vertical="center"/>
    </xf>
    <xf numFmtId="176" fontId="17" fillId="4" borderId="1" xfId="0" applyNumberFormat="1" applyFont="1" applyFill="1" applyBorder="1" applyAlignment="1">
      <alignment horizontal="right" vertical="center"/>
    </xf>
    <xf numFmtId="176" fontId="50" fillId="4" borderId="1" xfId="1" applyNumberFormat="1" applyFont="1" applyFill="1" applyBorder="1" applyAlignment="1">
      <alignment horizontal="right" vertical="center"/>
    </xf>
    <xf numFmtId="176" fontId="50" fillId="5" borderId="1" xfId="1" applyNumberFormat="1" applyFont="1" applyFill="1" applyBorder="1" applyAlignment="1">
      <alignment horizontal="right" vertical="center"/>
    </xf>
    <xf numFmtId="176" fontId="17" fillId="5" borderId="1" xfId="0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horizontal="right" vertical="center"/>
    </xf>
    <xf numFmtId="43" fontId="24" fillId="0" borderId="1" xfId="0" applyNumberFormat="1" applyFont="1" applyBorder="1" applyAlignment="1">
      <alignment horizontal="right" vertical="center"/>
    </xf>
    <xf numFmtId="49" fontId="23" fillId="0" borderId="1" xfId="0" applyNumberFormat="1" applyFont="1" applyBorder="1" applyAlignment="1">
      <alignment horizontal="right" vertical="center"/>
    </xf>
    <xf numFmtId="43" fontId="23" fillId="0" borderId="1" xfId="1" applyFont="1" applyBorder="1">
      <alignment vertical="center"/>
    </xf>
    <xf numFmtId="43" fontId="15" fillId="0" borderId="4" xfId="1" applyFont="1" applyBorder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3" fontId="23" fillId="0" borderId="5" xfId="0" applyNumberFormat="1" applyFont="1" applyBorder="1" applyAlignment="1">
      <alignment vertical="center"/>
    </xf>
    <xf numFmtId="43" fontId="23" fillId="0" borderId="2" xfId="0" applyNumberFormat="1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3" fontId="15" fillId="0" borderId="4" xfId="1" applyFont="1" applyBorder="1" applyAlignment="1">
      <alignment horizontal="center" vertical="center"/>
    </xf>
    <xf numFmtId="43" fontId="15" fillId="0" borderId="2" xfId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30" fillId="5" borderId="5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4"/>
  <sheetViews>
    <sheetView workbookViewId="0">
      <selection activeCell="B10" sqref="B10"/>
    </sheetView>
  </sheetViews>
  <sheetFormatPr defaultRowHeight="18" customHeight="1"/>
  <cols>
    <col min="1" max="1" width="13.375" customWidth="1"/>
    <col min="2" max="2" width="11.375" customWidth="1"/>
    <col min="3" max="4" width="12.5" customWidth="1"/>
    <col min="5" max="6" width="16.375" customWidth="1"/>
    <col min="7" max="7" width="14.5" bestFit="1" customWidth="1"/>
    <col min="8" max="9" width="15.75" bestFit="1" customWidth="1"/>
    <col min="10" max="14" width="14.5" bestFit="1" customWidth="1"/>
    <col min="15" max="15" width="13.375" customWidth="1"/>
    <col min="16" max="17" width="14.5" bestFit="1" customWidth="1"/>
    <col min="18" max="18" width="13.25" bestFit="1" customWidth="1"/>
    <col min="19" max="42" width="13.25" customWidth="1"/>
    <col min="43" max="43" width="19" customWidth="1"/>
    <col min="44" max="44" width="14.375" bestFit="1" customWidth="1"/>
  </cols>
  <sheetData>
    <row r="1" spans="1:47" ht="30.75" customHeight="1"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7" ht="18" customHeight="1"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3"/>
      <c r="AR2" s="13"/>
      <c r="AS2" s="13"/>
    </row>
    <row r="3" spans="1:47" ht="18" customHeight="1">
      <c r="Q3" s="18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</row>
    <row r="4" spans="1:47" ht="18" customHeight="1">
      <c r="Q4" s="18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</row>
    <row r="5" spans="1:47" ht="18" customHeight="1">
      <c r="Q5" s="18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</row>
    <row r="6" spans="1:47" ht="18" customHeight="1"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8" spans="1:47" ht="33" customHeight="1">
      <c r="A8" s="196" t="s">
        <v>1000</v>
      </c>
      <c r="B8" s="197"/>
      <c r="C8" s="197"/>
      <c r="D8" s="197"/>
      <c r="E8" s="197"/>
      <c r="F8" s="197"/>
      <c r="G8" s="197"/>
      <c r="H8" s="197"/>
      <c r="I8" s="197"/>
      <c r="J8" s="197"/>
    </row>
    <row r="9" spans="1:47" ht="18" customHeight="1">
      <c r="A9" s="15" t="s">
        <v>507</v>
      </c>
      <c r="B9" s="15" t="s">
        <v>508</v>
      </c>
      <c r="C9" s="24" t="s">
        <v>520</v>
      </c>
      <c r="D9" s="24" t="s">
        <v>546</v>
      </c>
      <c r="E9" s="15" t="s">
        <v>519</v>
      </c>
      <c r="F9" s="15" t="s">
        <v>1684</v>
      </c>
      <c r="G9" s="16" t="s">
        <v>676</v>
      </c>
      <c r="H9" s="16" t="s">
        <v>677</v>
      </c>
      <c r="I9" s="16" t="s">
        <v>678</v>
      </c>
      <c r="J9" s="16" t="s">
        <v>679</v>
      </c>
      <c r="K9" s="16" t="s">
        <v>680</v>
      </c>
      <c r="L9" s="16" t="s">
        <v>681</v>
      </c>
      <c r="M9" s="16" t="s">
        <v>682</v>
      </c>
      <c r="N9" s="16" t="s">
        <v>683</v>
      </c>
      <c r="O9" s="16" t="s">
        <v>684</v>
      </c>
      <c r="P9" s="16" t="s">
        <v>685</v>
      </c>
      <c r="Q9" s="16" t="s">
        <v>686</v>
      </c>
      <c r="R9" s="16" t="s">
        <v>687</v>
      </c>
      <c r="S9" s="16" t="s">
        <v>688</v>
      </c>
      <c r="T9" s="16" t="s">
        <v>689</v>
      </c>
      <c r="U9" s="16" t="s">
        <v>690</v>
      </c>
      <c r="V9" s="16" t="s">
        <v>691</v>
      </c>
      <c r="W9" s="16" t="s">
        <v>692</v>
      </c>
      <c r="X9" s="16" t="s">
        <v>693</v>
      </c>
      <c r="Y9" s="16" t="s">
        <v>694</v>
      </c>
      <c r="Z9" s="16" t="s">
        <v>695</v>
      </c>
      <c r="AA9" s="16" t="s">
        <v>696</v>
      </c>
      <c r="AB9" s="16" t="s">
        <v>697</v>
      </c>
      <c r="AC9" s="16" t="s">
        <v>698</v>
      </c>
      <c r="AD9" s="16" t="s">
        <v>699</v>
      </c>
      <c r="AE9" s="16" t="s">
        <v>700</v>
      </c>
      <c r="AF9" s="16" t="s">
        <v>701</v>
      </c>
      <c r="AG9" s="16" t="s">
        <v>702</v>
      </c>
      <c r="AH9" s="16" t="s">
        <v>703</v>
      </c>
      <c r="AI9" s="16" t="s">
        <v>704</v>
      </c>
      <c r="AJ9" s="16" t="s">
        <v>705</v>
      </c>
      <c r="AK9" s="16" t="s">
        <v>706</v>
      </c>
      <c r="AL9" s="16" t="s">
        <v>707</v>
      </c>
      <c r="AM9" s="16" t="s">
        <v>708</v>
      </c>
      <c r="AN9" s="16" t="s">
        <v>709</v>
      </c>
      <c r="AO9" s="16" t="s">
        <v>710</v>
      </c>
      <c r="AP9" s="16" t="s">
        <v>711</v>
      </c>
      <c r="AQ9" s="188" t="s">
        <v>1685</v>
      </c>
      <c r="AR9" s="189" t="s">
        <v>1686</v>
      </c>
      <c r="AS9" s="21"/>
      <c r="AT9" s="13"/>
      <c r="AU9" s="13"/>
    </row>
    <row r="10" spans="1:47" ht="18" customHeight="1">
      <c r="A10" s="15" t="s">
        <v>101</v>
      </c>
      <c r="B10" s="172">
        <f>'2014-2017学年各项收入明细'!D208</f>
        <v>161</v>
      </c>
      <c r="C10" s="172">
        <f>'2014-2017学年各项收入明细'!D210</f>
        <v>29</v>
      </c>
      <c r="D10" s="172">
        <f>'2014-2017学年各项收入明细'!D209</f>
        <v>0</v>
      </c>
      <c r="E10" s="187">
        <v>369351.5</v>
      </c>
      <c r="F10" s="22">
        <f>'2012-2014学年各项收入明细'!G311</f>
        <v>8501691</v>
      </c>
      <c r="G10" s="22">
        <f ca="1">'2014-2017学年各项收入明细'!T206</f>
        <v>0</v>
      </c>
      <c r="H10" s="22">
        <f ca="1">'2014-2017学年各项收入明细'!U206</f>
        <v>0</v>
      </c>
      <c r="I10" s="22">
        <f ca="1">'2014-2017学年各项收入明细'!V206</f>
        <v>0</v>
      </c>
      <c r="J10" s="22">
        <f ca="1">'2014-2017学年各项收入明细'!W206</f>
        <v>0</v>
      </c>
      <c r="K10" s="22">
        <f ca="1">'2014-2017学年各项收入明细'!X206</f>
        <v>0</v>
      </c>
      <c r="L10" s="22">
        <f ca="1">'2014-2017学年各项收入明细'!Y206</f>
        <v>0</v>
      </c>
      <c r="M10" s="22">
        <f ca="1">'2014-2017学年各项收入明细'!Z206</f>
        <v>0</v>
      </c>
      <c r="N10" s="22">
        <f ca="1">'2014-2017学年各项收入明细'!AA206</f>
        <v>0</v>
      </c>
      <c r="O10" s="22">
        <f ca="1">'2014-2017学年各项收入明细'!AB206</f>
        <v>0</v>
      </c>
      <c r="P10" s="22">
        <f ca="1">'2014-2017学年各项收入明细'!AC206</f>
        <v>0</v>
      </c>
      <c r="Q10" s="22">
        <f ca="1">'2014-2017学年各项收入明细'!AD206</f>
        <v>0</v>
      </c>
      <c r="R10" s="22">
        <f ca="1">'2014-2017学年各项收入明细'!AE206</f>
        <v>0</v>
      </c>
      <c r="S10" s="22">
        <f ca="1">'2014-2017学年各项收入明细'!AF206</f>
        <v>0</v>
      </c>
      <c r="T10" s="22">
        <f ca="1">'2014-2017学年各项收入明细'!AG206</f>
        <v>0</v>
      </c>
      <c r="U10" s="22">
        <f ca="1">'2014-2017学年各项收入明细'!AH206</f>
        <v>0</v>
      </c>
      <c r="V10" s="22">
        <f ca="1">'2014-2017学年各项收入明细'!AI206</f>
        <v>0</v>
      </c>
      <c r="W10" s="22">
        <f ca="1">'2014-2017学年各项收入明细'!AJ206</f>
        <v>0</v>
      </c>
      <c r="X10" s="22">
        <f ca="1">'2014-2017学年各项收入明细'!AK206</f>
        <v>0</v>
      </c>
      <c r="Y10" s="22">
        <f ca="1">'2014-2017学年各项收入明细'!AL206</f>
        <v>0</v>
      </c>
      <c r="Z10" s="22">
        <f ca="1">'2014-2017学年各项收入明细'!AM206</f>
        <v>0</v>
      </c>
      <c r="AA10" s="22">
        <f ca="1">'2014-2017学年各项收入明细'!AN206</f>
        <v>0</v>
      </c>
      <c r="AB10" s="22">
        <f ca="1">'2014-2017学年各项收入明细'!AO206</f>
        <v>0</v>
      </c>
      <c r="AC10" s="22">
        <f ca="1">'2014-2017学年各项收入明细'!AP206</f>
        <v>0</v>
      </c>
      <c r="AD10" s="22">
        <f ca="1">'2014-2017学年各项收入明细'!AQ206</f>
        <v>0</v>
      </c>
      <c r="AE10" s="22">
        <f ca="1">'2014-2017学年各项收入明细'!AR206</f>
        <v>0</v>
      </c>
      <c r="AF10" s="22">
        <f ca="1">'2014-2017学年各项收入明细'!AS206</f>
        <v>0</v>
      </c>
      <c r="AG10" s="22">
        <f ca="1">'2014-2017学年各项收入明细'!AT206</f>
        <v>0</v>
      </c>
      <c r="AH10" s="22">
        <f ca="1">'2014-2017学年各项收入明细'!AU206</f>
        <v>0</v>
      </c>
      <c r="AI10" s="22">
        <f ca="1">'2014-2017学年各项收入明细'!AV206</f>
        <v>0</v>
      </c>
      <c r="AJ10" s="22">
        <f ca="1">'2014-2017学年各项收入明细'!AW206</f>
        <v>0</v>
      </c>
      <c r="AK10" s="22">
        <f ca="1">'2014-2017学年各项收入明细'!AX206</f>
        <v>0</v>
      </c>
      <c r="AL10" s="22">
        <f ca="1">'2014-2017学年各项收入明细'!AY206</f>
        <v>0</v>
      </c>
      <c r="AM10" s="22">
        <f ca="1">'2014-2017学年各项收入明细'!AZ206</f>
        <v>0</v>
      </c>
      <c r="AN10" s="22">
        <f ca="1">'2014-2017学年各项收入明细'!BA206</f>
        <v>0</v>
      </c>
      <c r="AO10" s="22">
        <f ca="1">'2014-2017学年各项收入明细'!BB206</f>
        <v>0</v>
      </c>
      <c r="AP10" s="22">
        <f ca="1">'2014-2017学年各项收入明细'!BC206</f>
        <v>0</v>
      </c>
      <c r="AQ10" s="22">
        <f ca="1">SUM(G10:AP10)</f>
        <v>0</v>
      </c>
      <c r="AR10" s="22">
        <f>SUM(,E10,F10,)</f>
        <v>8871042.5</v>
      </c>
    </row>
    <row r="11" spans="1:47" ht="18" customHeight="1">
      <c r="A11" s="15" t="s">
        <v>509</v>
      </c>
      <c r="B11" s="22"/>
      <c r="C11" s="22"/>
      <c r="D11" s="22"/>
      <c r="E11" s="22">
        <v>51317</v>
      </c>
      <c r="F11" s="22">
        <f>'2012-2014学年各项收入明细'!I311</f>
        <v>1027653</v>
      </c>
      <c r="G11" s="22">
        <f ca="1">'2014-2017学年各项收入明细'!BE206</f>
        <v>0</v>
      </c>
      <c r="H11" s="22">
        <f ca="1">'2014-2017学年各项收入明细'!BF206</f>
        <v>0</v>
      </c>
      <c r="I11" s="22">
        <f ca="1">'2014-2017学年各项收入明细'!BG206</f>
        <v>0</v>
      </c>
      <c r="J11" s="22">
        <f ca="1">'2014-2017学年各项收入明细'!BH206</f>
        <v>0</v>
      </c>
      <c r="K11" s="22">
        <f ca="1">'2014-2017学年各项收入明细'!BI206</f>
        <v>0</v>
      </c>
      <c r="L11" s="22">
        <f ca="1">'2014-2017学年各项收入明细'!BJ206</f>
        <v>0</v>
      </c>
      <c r="M11" s="22">
        <f ca="1">'2014-2017学年各项收入明细'!BK206</f>
        <v>0</v>
      </c>
      <c r="N11" s="22">
        <f ca="1">'2014-2017学年各项收入明细'!BL206</f>
        <v>0</v>
      </c>
      <c r="O11" s="22">
        <f ca="1">'2014-2017学年各项收入明细'!BM206</f>
        <v>0</v>
      </c>
      <c r="P11" s="22">
        <f ca="1">'2014-2017学年各项收入明细'!BN206</f>
        <v>0</v>
      </c>
      <c r="Q11" s="22">
        <f ca="1">'2014-2017学年各项收入明细'!BO206</f>
        <v>0</v>
      </c>
      <c r="R11" s="22">
        <f ca="1">'2014-2017学年各项收入明细'!BP206</f>
        <v>0</v>
      </c>
      <c r="S11" s="22">
        <f ca="1">'2014-2017学年各项收入明细'!BQ206</f>
        <v>0</v>
      </c>
      <c r="T11" s="22">
        <f ca="1">'2014-2017学年各项收入明细'!BR206</f>
        <v>0</v>
      </c>
      <c r="U11" s="22">
        <f ca="1">'2014-2017学年各项收入明细'!BS206</f>
        <v>0</v>
      </c>
      <c r="V11" s="22">
        <f ca="1">'2014-2017学年各项收入明细'!BT206</f>
        <v>0</v>
      </c>
      <c r="W11" s="22">
        <f ca="1">'2014-2017学年各项收入明细'!BU206</f>
        <v>0</v>
      </c>
      <c r="X11" s="22">
        <f ca="1">'2014-2017学年各项收入明细'!BV206</f>
        <v>0</v>
      </c>
      <c r="Y11" s="22">
        <f ca="1">'2014-2017学年各项收入明细'!BW206</f>
        <v>0</v>
      </c>
      <c r="Z11" s="22">
        <f ca="1">'2014-2017学年各项收入明细'!BX206</f>
        <v>0</v>
      </c>
      <c r="AA11" s="22">
        <f ca="1">'2014-2017学年各项收入明细'!BY206</f>
        <v>0</v>
      </c>
      <c r="AB11" s="22">
        <f ca="1">'2014-2017学年各项收入明细'!BZ206</f>
        <v>0</v>
      </c>
      <c r="AC11" s="22">
        <f ca="1">'2014-2017学年各项收入明细'!CA206</f>
        <v>0</v>
      </c>
      <c r="AD11" s="22">
        <f ca="1">'2014-2017学年各项收入明细'!CB206</f>
        <v>0</v>
      </c>
      <c r="AE11" s="22">
        <f ca="1">'2014-2017学年各项收入明细'!CC206</f>
        <v>0</v>
      </c>
      <c r="AF11" s="22">
        <f ca="1">'2014-2017学年各项收入明细'!CD206</f>
        <v>0</v>
      </c>
      <c r="AG11" s="22">
        <f ca="1">'2014-2017学年各项收入明细'!CE206</f>
        <v>0</v>
      </c>
      <c r="AH11" s="22">
        <f ca="1">'2014-2017学年各项收入明细'!CF206</f>
        <v>0</v>
      </c>
      <c r="AI11" s="22">
        <f ca="1">'2014-2017学年各项收入明细'!CG206</f>
        <v>0</v>
      </c>
      <c r="AJ11" s="22">
        <f ca="1">'2014-2017学年各项收入明细'!CH206</f>
        <v>0</v>
      </c>
      <c r="AK11" s="22">
        <f ca="1">'2014-2017学年各项收入明细'!CI206</f>
        <v>0</v>
      </c>
      <c r="AL11" s="22">
        <f ca="1">'2014-2017学年各项收入明细'!CJ206</f>
        <v>0</v>
      </c>
      <c r="AM11" s="22">
        <f ca="1">'2014-2017学年各项收入明细'!CK206</f>
        <v>0</v>
      </c>
      <c r="AN11" s="22">
        <f ca="1">'2014-2017学年各项收入明细'!CL206</f>
        <v>0</v>
      </c>
      <c r="AO11" s="22">
        <f ca="1">'2014-2017学年各项收入明细'!CM206</f>
        <v>0</v>
      </c>
      <c r="AP11" s="22">
        <f ca="1">'2014-2017学年各项收入明细'!CN206</f>
        <v>0</v>
      </c>
      <c r="AQ11" s="22">
        <f t="shared" ref="AQ11:AQ14" ca="1" si="0">SUM(G11:AP11)</f>
        <v>0</v>
      </c>
      <c r="AR11" s="22">
        <f t="shared" ref="AR11:AR13" si="1">SUM(,E11,F11,)</f>
        <v>1078970</v>
      </c>
    </row>
    <row r="12" spans="1:47" ht="18" customHeight="1">
      <c r="A12" s="15" t="s">
        <v>510</v>
      </c>
      <c r="B12" s="22"/>
      <c r="C12" s="22"/>
      <c r="D12" s="22"/>
      <c r="E12" s="22">
        <v>7768</v>
      </c>
      <c r="F12" s="22">
        <f>'2012-2014学年各项收入明细'!K311</f>
        <v>311718.18181818182</v>
      </c>
      <c r="G12" s="22">
        <f ca="1">'2014-2017学年各项收入明细'!CP206</f>
        <v>0</v>
      </c>
      <c r="H12" s="22">
        <f ca="1">'2014-2017学年各项收入明细'!CQ206</f>
        <v>0</v>
      </c>
      <c r="I12" s="22">
        <f ca="1">'2014-2017学年各项收入明细'!CR206</f>
        <v>0</v>
      </c>
      <c r="J12" s="22">
        <f ca="1">'2014-2017学年各项收入明细'!CS206</f>
        <v>0</v>
      </c>
      <c r="K12" s="22">
        <f ca="1">'2014-2017学年各项收入明细'!CT206</f>
        <v>0</v>
      </c>
      <c r="L12" s="22">
        <f ca="1">'2014-2017学年各项收入明细'!CU206</f>
        <v>0</v>
      </c>
      <c r="M12" s="22">
        <f ca="1">'2014-2017学年各项收入明细'!CV206</f>
        <v>0</v>
      </c>
      <c r="N12" s="22">
        <f ca="1">'2014-2017学年各项收入明细'!CW206</f>
        <v>0</v>
      </c>
      <c r="O12" s="22">
        <f ca="1">'2014-2017学年各项收入明细'!CX206</f>
        <v>0</v>
      </c>
      <c r="P12" s="22">
        <f ca="1">'2014-2017学年各项收入明细'!CY206</f>
        <v>0</v>
      </c>
      <c r="Q12" s="22">
        <f ca="1">'2014-2017学年各项收入明细'!CZ206</f>
        <v>0</v>
      </c>
      <c r="R12" s="22">
        <f ca="1">'2014-2017学年各项收入明细'!DA206</f>
        <v>0</v>
      </c>
      <c r="S12" s="22">
        <f ca="1">'2014-2017学年各项收入明细'!DB206</f>
        <v>0</v>
      </c>
      <c r="T12" s="22">
        <f ca="1">'2014-2017学年各项收入明细'!DC206</f>
        <v>0</v>
      </c>
      <c r="U12" s="22">
        <f ca="1">'2014-2017学年各项收入明细'!DD206</f>
        <v>0</v>
      </c>
      <c r="V12" s="22">
        <f ca="1">'2014-2017学年各项收入明细'!DE206</f>
        <v>0</v>
      </c>
      <c r="W12" s="22">
        <f ca="1">'2014-2017学年各项收入明细'!DF206</f>
        <v>0</v>
      </c>
      <c r="X12" s="22">
        <f ca="1">'2014-2017学年各项收入明细'!DG206</f>
        <v>0</v>
      </c>
      <c r="Y12" s="22">
        <f ca="1">'2014-2017学年各项收入明细'!DH206</f>
        <v>0</v>
      </c>
      <c r="Z12" s="22">
        <f ca="1">'2014-2017学年各项收入明细'!DI206</f>
        <v>0</v>
      </c>
      <c r="AA12" s="22">
        <f ca="1">'2014-2017学年各项收入明细'!DJ206</f>
        <v>0</v>
      </c>
      <c r="AB12" s="22">
        <f ca="1">'2014-2017学年各项收入明细'!DK206</f>
        <v>0</v>
      </c>
      <c r="AC12" s="22">
        <f ca="1">'2014-2017学年各项收入明细'!DL206</f>
        <v>0</v>
      </c>
      <c r="AD12" s="22">
        <f ca="1">'2014-2017学年各项收入明细'!DM206</f>
        <v>0</v>
      </c>
      <c r="AE12" s="22">
        <f>'2014-2017学年各项收入明细'!DN206</f>
        <v>0</v>
      </c>
      <c r="AF12" s="22">
        <f>'2014-2017学年各项收入明细'!DO206</f>
        <v>0</v>
      </c>
      <c r="AG12" s="22">
        <f>'2014-2017学年各项收入明细'!DP206</f>
        <v>0</v>
      </c>
      <c r="AH12" s="22">
        <f>'2014-2017学年各项收入明细'!DQ206</f>
        <v>0</v>
      </c>
      <c r="AI12" s="22">
        <f>'2014-2017学年各项收入明细'!DR206</f>
        <v>0</v>
      </c>
      <c r="AJ12" s="22">
        <f>'2014-2017学年各项收入明细'!DS206</f>
        <v>0</v>
      </c>
      <c r="AK12" s="22">
        <f>'2014-2017学年各项收入明细'!DT206</f>
        <v>0</v>
      </c>
      <c r="AL12" s="22">
        <f>'2014-2017学年各项收入明细'!DU206</f>
        <v>0</v>
      </c>
      <c r="AM12" s="22">
        <f>'2014-2017学年各项收入明细'!DV206</f>
        <v>0</v>
      </c>
      <c r="AN12" s="22">
        <f>'2014-2017学年各项收入明细'!DW206</f>
        <v>0</v>
      </c>
      <c r="AO12" s="22">
        <f>'2014-2017学年各项收入明细'!DX206</f>
        <v>0</v>
      </c>
      <c r="AP12" s="22">
        <f>'2014-2017学年各项收入明细'!DY206</f>
        <v>0</v>
      </c>
      <c r="AQ12" s="22">
        <f t="shared" ca="1" si="0"/>
        <v>0</v>
      </c>
      <c r="AR12" s="22">
        <f t="shared" si="1"/>
        <v>319486.18181818182</v>
      </c>
    </row>
    <row r="13" spans="1:47" ht="18" customHeight="1">
      <c r="A13" s="24" t="s">
        <v>518</v>
      </c>
      <c r="B13" s="22"/>
      <c r="C13" s="22"/>
      <c r="D13" s="22"/>
      <c r="E13" s="22"/>
      <c r="F13" s="22">
        <f>'2012-2014学年各项收入明细'!D311</f>
        <v>530088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>
        <f>'2014-2017学年各项收入明细'!G206</f>
        <v>5600</v>
      </c>
      <c r="AR13" s="22">
        <f t="shared" si="1"/>
        <v>530088</v>
      </c>
    </row>
    <row r="14" spans="1:47" ht="18" customHeight="1">
      <c r="A14" s="15" t="s">
        <v>511</v>
      </c>
      <c r="B14" s="172">
        <f>SUM(B10:B12)</f>
        <v>161</v>
      </c>
      <c r="C14" s="172">
        <f t="shared" ref="C14:D14" si="2">SUM(C10:C12)</f>
        <v>29</v>
      </c>
      <c r="D14" s="172">
        <f t="shared" si="2"/>
        <v>0</v>
      </c>
      <c r="E14" s="22">
        <f t="shared" ref="E14:AL14" si="3">SUM(E10:E13)</f>
        <v>428436.5</v>
      </c>
      <c r="F14" s="22">
        <f t="shared" si="3"/>
        <v>10371150.181818182</v>
      </c>
      <c r="G14" s="22">
        <f t="shared" ca="1" si="3"/>
        <v>0</v>
      </c>
      <c r="H14" s="22">
        <f t="shared" ca="1" si="3"/>
        <v>0</v>
      </c>
      <c r="I14" s="22">
        <f t="shared" ca="1" si="3"/>
        <v>0</v>
      </c>
      <c r="J14" s="22">
        <f t="shared" ca="1" si="3"/>
        <v>0</v>
      </c>
      <c r="K14" s="22">
        <f t="shared" ca="1" si="3"/>
        <v>0</v>
      </c>
      <c r="L14" s="22">
        <f t="shared" ca="1" si="3"/>
        <v>0</v>
      </c>
      <c r="M14" s="22">
        <f t="shared" ca="1" si="3"/>
        <v>0</v>
      </c>
      <c r="N14" s="22">
        <f t="shared" ca="1" si="3"/>
        <v>0</v>
      </c>
      <c r="O14" s="22">
        <f t="shared" ca="1" si="3"/>
        <v>0</v>
      </c>
      <c r="P14" s="22">
        <f t="shared" ca="1" si="3"/>
        <v>0</v>
      </c>
      <c r="Q14" s="22">
        <f t="shared" ca="1" si="3"/>
        <v>0</v>
      </c>
      <c r="R14" s="22">
        <f t="shared" ca="1" si="3"/>
        <v>0</v>
      </c>
      <c r="S14" s="22">
        <f t="shared" ca="1" si="3"/>
        <v>0</v>
      </c>
      <c r="T14" s="22">
        <f t="shared" ca="1" si="3"/>
        <v>0</v>
      </c>
      <c r="U14" s="22">
        <f t="shared" ca="1" si="3"/>
        <v>0</v>
      </c>
      <c r="V14" s="22">
        <f t="shared" ca="1" si="3"/>
        <v>0</v>
      </c>
      <c r="W14" s="22">
        <f t="shared" ca="1" si="3"/>
        <v>0</v>
      </c>
      <c r="X14" s="22">
        <f t="shared" ca="1" si="3"/>
        <v>0</v>
      </c>
      <c r="Y14" s="22">
        <f t="shared" ca="1" si="3"/>
        <v>0</v>
      </c>
      <c r="Z14" s="22">
        <f t="shared" ca="1" si="3"/>
        <v>0</v>
      </c>
      <c r="AA14" s="22">
        <f t="shared" ca="1" si="3"/>
        <v>0</v>
      </c>
      <c r="AB14" s="22">
        <f t="shared" ca="1" si="3"/>
        <v>0</v>
      </c>
      <c r="AC14" s="22">
        <f t="shared" ca="1" si="3"/>
        <v>0</v>
      </c>
      <c r="AD14" s="22">
        <f t="shared" ca="1" si="3"/>
        <v>0</v>
      </c>
      <c r="AE14" s="22">
        <f t="shared" ca="1" si="3"/>
        <v>0</v>
      </c>
      <c r="AF14" s="22">
        <f t="shared" ca="1" si="3"/>
        <v>0</v>
      </c>
      <c r="AG14" s="22">
        <f t="shared" ca="1" si="3"/>
        <v>0</v>
      </c>
      <c r="AH14" s="22">
        <f t="shared" ca="1" si="3"/>
        <v>0</v>
      </c>
      <c r="AI14" s="22">
        <f t="shared" ca="1" si="3"/>
        <v>0</v>
      </c>
      <c r="AJ14" s="22">
        <f t="shared" ca="1" si="3"/>
        <v>0</v>
      </c>
      <c r="AK14" s="22">
        <f t="shared" ca="1" si="3"/>
        <v>0</v>
      </c>
      <c r="AL14" s="22">
        <f t="shared" ca="1" si="3"/>
        <v>0</v>
      </c>
      <c r="AM14" s="22">
        <f t="shared" ref="AM14:AP14" ca="1" si="4">SUM(AM10:AM13)</f>
        <v>0</v>
      </c>
      <c r="AN14" s="22">
        <f t="shared" ca="1" si="4"/>
        <v>0</v>
      </c>
      <c r="AO14" s="22">
        <f t="shared" ca="1" si="4"/>
        <v>0</v>
      </c>
      <c r="AP14" s="22">
        <f t="shared" ca="1" si="4"/>
        <v>0</v>
      </c>
      <c r="AQ14" s="22">
        <f t="shared" ca="1" si="0"/>
        <v>0</v>
      </c>
      <c r="AR14" s="22">
        <f>SUM(AR10:AR13)</f>
        <v>10799586.681818182</v>
      </c>
    </row>
  </sheetData>
  <mergeCells count="1">
    <mergeCell ref="A8:J8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N210"/>
  <sheetViews>
    <sheetView workbookViewId="0">
      <pane xSplit="4" ySplit="2" topLeftCell="E189" activePane="bottomRight" state="frozenSplit"/>
      <selection pane="topRight" activeCell="H1" sqref="H1"/>
      <selection pane="bottomLeft" activeCell="A12" sqref="A12"/>
      <selection pane="bottomRight" activeCell="C174" sqref="C174"/>
    </sheetView>
  </sheetViews>
  <sheetFormatPr defaultRowHeight="13.5"/>
  <cols>
    <col min="5" max="6" width="15.75" customWidth="1"/>
    <col min="7" max="7" width="11.625" customWidth="1"/>
    <col min="8" max="8" width="18.875" customWidth="1"/>
    <col min="9" max="9" width="15.25" customWidth="1"/>
    <col min="10" max="10" width="16.125" customWidth="1"/>
    <col min="11" max="11" width="17.75" customWidth="1"/>
    <col min="12" max="12" width="16.75" customWidth="1"/>
    <col min="13" max="13" width="10.75" customWidth="1"/>
    <col min="16" max="16" width="17.125" customWidth="1"/>
    <col min="17" max="17" width="12.5" customWidth="1"/>
    <col min="18" max="18" width="13.875" customWidth="1"/>
    <col min="19" max="19" width="12.75" customWidth="1"/>
    <col min="20" max="20" width="13" bestFit="1" customWidth="1"/>
    <col min="56" max="56" width="3.875" customWidth="1"/>
    <col min="93" max="93" width="4.25" customWidth="1"/>
    <col min="118" max="118" width="9" style="95"/>
  </cols>
  <sheetData>
    <row r="1" spans="1:117" ht="33" customHeight="1">
      <c r="A1" s="198" t="s">
        <v>998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200"/>
      <c r="T1" s="201" t="s">
        <v>725</v>
      </c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3"/>
      <c r="BD1" s="160"/>
      <c r="BE1" s="201" t="s">
        <v>726</v>
      </c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3"/>
      <c r="CO1" s="37"/>
      <c r="CP1" s="204" t="s">
        <v>727</v>
      </c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</row>
    <row r="2" spans="1:117" ht="24.75" customHeight="1">
      <c r="A2" s="55" t="s">
        <v>451</v>
      </c>
      <c r="B2" s="55" t="s">
        <v>452</v>
      </c>
      <c r="C2" s="157" t="s">
        <v>712</v>
      </c>
      <c r="D2" s="55" t="s">
        <v>453</v>
      </c>
      <c r="E2" s="157" t="s">
        <v>717</v>
      </c>
      <c r="F2" s="157" t="s">
        <v>999</v>
      </c>
      <c r="G2" s="87" t="s">
        <v>454</v>
      </c>
      <c r="H2" s="157" t="s">
        <v>718</v>
      </c>
      <c r="I2" s="55" t="s">
        <v>542</v>
      </c>
      <c r="J2" s="137" t="s">
        <v>543</v>
      </c>
      <c r="K2" s="158" t="s">
        <v>719</v>
      </c>
      <c r="L2" s="104" t="s">
        <v>455</v>
      </c>
      <c r="M2" s="87" t="s">
        <v>456</v>
      </c>
      <c r="N2" s="159" t="s">
        <v>720</v>
      </c>
      <c r="O2" s="104" t="s">
        <v>540</v>
      </c>
      <c r="P2" s="87" t="s">
        <v>457</v>
      </c>
      <c r="Q2" s="87" t="s">
        <v>458</v>
      </c>
      <c r="R2" s="55" t="s">
        <v>459</v>
      </c>
      <c r="S2" s="55" t="s">
        <v>460</v>
      </c>
      <c r="T2" s="92" t="s">
        <v>721</v>
      </c>
      <c r="U2" s="92" t="s">
        <v>220</v>
      </c>
      <c r="V2" s="92" t="s">
        <v>221</v>
      </c>
      <c r="W2" s="92" t="s">
        <v>222</v>
      </c>
      <c r="X2" s="92" t="s">
        <v>680</v>
      </c>
      <c r="Y2" s="92" t="s">
        <v>722</v>
      </c>
      <c r="Z2" s="92" t="s">
        <v>303</v>
      </c>
      <c r="AA2" s="92" t="s">
        <v>304</v>
      </c>
      <c r="AB2" s="92" t="s">
        <v>305</v>
      </c>
      <c r="AC2" s="92" t="s">
        <v>306</v>
      </c>
      <c r="AD2" s="92" t="s">
        <v>307</v>
      </c>
      <c r="AE2" s="92" t="s">
        <v>308</v>
      </c>
      <c r="AF2" s="92" t="s">
        <v>723</v>
      </c>
      <c r="AG2" s="92" t="s">
        <v>724</v>
      </c>
      <c r="AH2" s="92" t="s">
        <v>690</v>
      </c>
      <c r="AI2" s="92" t="s">
        <v>691</v>
      </c>
      <c r="AJ2" s="92" t="s">
        <v>692</v>
      </c>
      <c r="AK2" s="92" t="s">
        <v>693</v>
      </c>
      <c r="AL2" s="92" t="s">
        <v>694</v>
      </c>
      <c r="AM2" s="92" t="s">
        <v>695</v>
      </c>
      <c r="AN2" s="92" t="s">
        <v>696</v>
      </c>
      <c r="AO2" s="92" t="s">
        <v>697</v>
      </c>
      <c r="AP2" s="92" t="s">
        <v>698</v>
      </c>
      <c r="AQ2" s="92" t="s">
        <v>699</v>
      </c>
      <c r="AR2" s="92" t="s">
        <v>700</v>
      </c>
      <c r="AS2" s="92" t="s">
        <v>701</v>
      </c>
      <c r="AT2" s="92" t="s">
        <v>702</v>
      </c>
      <c r="AU2" s="92" t="s">
        <v>703</v>
      </c>
      <c r="AV2" s="92" t="s">
        <v>704</v>
      </c>
      <c r="AW2" s="92" t="s">
        <v>705</v>
      </c>
      <c r="AX2" s="92" t="s">
        <v>706</v>
      </c>
      <c r="AY2" s="92" t="s">
        <v>707</v>
      </c>
      <c r="AZ2" s="92" t="s">
        <v>708</v>
      </c>
      <c r="BA2" s="92" t="s">
        <v>709</v>
      </c>
      <c r="BB2" s="92" t="s">
        <v>710</v>
      </c>
      <c r="BC2" s="92" t="s">
        <v>711</v>
      </c>
      <c r="BD2" s="161"/>
      <c r="BE2" s="92" t="s">
        <v>721</v>
      </c>
      <c r="BF2" s="92" t="s">
        <v>220</v>
      </c>
      <c r="BG2" s="92" t="s">
        <v>221</v>
      </c>
      <c r="BH2" s="92" t="s">
        <v>222</v>
      </c>
      <c r="BI2" s="92" t="s">
        <v>680</v>
      </c>
      <c r="BJ2" s="92" t="s">
        <v>722</v>
      </c>
      <c r="BK2" s="92" t="s">
        <v>303</v>
      </c>
      <c r="BL2" s="92" t="s">
        <v>304</v>
      </c>
      <c r="BM2" s="92" t="s">
        <v>305</v>
      </c>
      <c r="BN2" s="92" t="s">
        <v>306</v>
      </c>
      <c r="BO2" s="92" t="s">
        <v>307</v>
      </c>
      <c r="BP2" s="92" t="s">
        <v>308</v>
      </c>
      <c r="BQ2" s="92" t="s">
        <v>723</v>
      </c>
      <c r="BR2" s="92" t="s">
        <v>724</v>
      </c>
      <c r="BS2" s="92" t="s">
        <v>690</v>
      </c>
      <c r="BT2" s="92" t="s">
        <v>691</v>
      </c>
      <c r="BU2" s="92" t="s">
        <v>692</v>
      </c>
      <c r="BV2" s="92" t="s">
        <v>693</v>
      </c>
      <c r="BW2" s="92" t="s">
        <v>694</v>
      </c>
      <c r="BX2" s="92" t="s">
        <v>695</v>
      </c>
      <c r="BY2" s="92" t="s">
        <v>696</v>
      </c>
      <c r="BZ2" s="92" t="s">
        <v>697</v>
      </c>
      <c r="CA2" s="92" t="s">
        <v>698</v>
      </c>
      <c r="CB2" s="92" t="s">
        <v>699</v>
      </c>
      <c r="CC2" s="92" t="s">
        <v>700</v>
      </c>
      <c r="CD2" s="92" t="s">
        <v>701</v>
      </c>
      <c r="CE2" s="92" t="s">
        <v>702</v>
      </c>
      <c r="CF2" s="92" t="s">
        <v>703</v>
      </c>
      <c r="CG2" s="92" t="s">
        <v>704</v>
      </c>
      <c r="CH2" s="92" t="s">
        <v>705</v>
      </c>
      <c r="CI2" s="92" t="s">
        <v>706</v>
      </c>
      <c r="CJ2" s="92" t="s">
        <v>707</v>
      </c>
      <c r="CK2" s="92" t="s">
        <v>708</v>
      </c>
      <c r="CL2" s="92" t="s">
        <v>709</v>
      </c>
      <c r="CM2" s="92" t="s">
        <v>710</v>
      </c>
      <c r="CN2" s="92" t="s">
        <v>711</v>
      </c>
      <c r="CO2" s="94"/>
      <c r="CP2" s="92" t="s">
        <v>721</v>
      </c>
      <c r="CQ2" s="92" t="s">
        <v>220</v>
      </c>
      <c r="CR2" s="92" t="s">
        <v>221</v>
      </c>
      <c r="CS2" s="92" t="s">
        <v>222</v>
      </c>
      <c r="CT2" s="92" t="s">
        <v>680</v>
      </c>
      <c r="CU2" s="92" t="s">
        <v>722</v>
      </c>
      <c r="CV2" s="92" t="s">
        <v>303</v>
      </c>
      <c r="CW2" s="92" t="s">
        <v>304</v>
      </c>
      <c r="CX2" s="92" t="s">
        <v>305</v>
      </c>
      <c r="CY2" s="92" t="s">
        <v>306</v>
      </c>
      <c r="CZ2" s="92" t="s">
        <v>307</v>
      </c>
      <c r="DA2" s="92" t="s">
        <v>308</v>
      </c>
      <c r="DB2" s="92" t="s">
        <v>723</v>
      </c>
      <c r="DC2" s="92" t="s">
        <v>724</v>
      </c>
      <c r="DD2" s="92" t="s">
        <v>690</v>
      </c>
      <c r="DE2" s="92" t="s">
        <v>691</v>
      </c>
      <c r="DF2" s="93" t="s">
        <v>692</v>
      </c>
      <c r="DG2" s="93" t="s">
        <v>693</v>
      </c>
      <c r="DH2" s="93" t="s">
        <v>694</v>
      </c>
      <c r="DI2" s="93" t="s">
        <v>695</v>
      </c>
      <c r="DJ2" s="93" t="s">
        <v>696</v>
      </c>
      <c r="DK2" s="93" t="s">
        <v>697</v>
      </c>
      <c r="DL2" s="93" t="s">
        <v>698</v>
      </c>
      <c r="DM2" s="93" t="s">
        <v>699</v>
      </c>
    </row>
    <row r="3" spans="1:117" ht="18.75" customHeight="1">
      <c r="A3" s="59">
        <v>1</v>
      </c>
      <c r="B3" s="59" t="s">
        <v>19</v>
      </c>
      <c r="C3" s="54" t="s">
        <v>713</v>
      </c>
      <c r="D3" s="52" t="s">
        <v>472</v>
      </c>
      <c r="E3" s="52"/>
      <c r="F3" s="52"/>
      <c r="G3" s="50"/>
      <c r="H3" s="79"/>
      <c r="I3" s="59"/>
      <c r="J3" s="138"/>
      <c r="K3" s="138"/>
      <c r="L3" s="52"/>
      <c r="M3" s="89"/>
      <c r="N3" s="89"/>
      <c r="O3" s="52"/>
      <c r="P3" s="8"/>
      <c r="Q3" s="8">
        <f>SUM(G3,J3,M3,P3)</f>
        <v>0</v>
      </c>
      <c r="R3" s="8">
        <f t="shared" ref="R3:R21" si="0">SUM(T3:DM3)</f>
        <v>0</v>
      </c>
      <c r="S3" s="8">
        <f t="shared" ref="S3:S66" si="1">Q3-R3</f>
        <v>0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29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162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3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29"/>
      <c r="DE3" s="29"/>
      <c r="DF3" s="29"/>
      <c r="DG3" s="29"/>
      <c r="DH3" s="29"/>
      <c r="DI3" s="29"/>
      <c r="DJ3" s="29"/>
      <c r="DK3" s="29"/>
      <c r="DL3" s="29"/>
      <c r="DM3" s="8"/>
    </row>
    <row r="4" spans="1:117" ht="18.75" customHeight="1">
      <c r="A4" s="59">
        <v>2</v>
      </c>
      <c r="B4" s="59" t="s">
        <v>19</v>
      </c>
      <c r="C4" s="54" t="s">
        <v>714</v>
      </c>
      <c r="D4" s="50" t="s">
        <v>469</v>
      </c>
      <c r="E4" s="50"/>
      <c r="F4" s="50"/>
      <c r="G4" s="50"/>
      <c r="H4" s="79"/>
      <c r="I4" s="59"/>
      <c r="J4" s="138"/>
      <c r="K4" s="138"/>
      <c r="L4" s="52"/>
      <c r="M4" s="89"/>
      <c r="N4" s="89"/>
      <c r="O4" s="52"/>
      <c r="P4" s="8"/>
      <c r="Q4" s="8">
        <f t="shared" ref="Q4:Q67" si="2">SUM(G4,J4,M4,P4)</f>
        <v>0</v>
      </c>
      <c r="R4" s="8">
        <f t="shared" si="0"/>
        <v>0</v>
      </c>
      <c r="S4" s="8">
        <f t="shared" si="1"/>
        <v>0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29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162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3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29"/>
      <c r="DE4" s="29"/>
      <c r="DF4" s="29"/>
      <c r="DG4" s="29"/>
      <c r="DH4" s="29"/>
      <c r="DI4" s="29"/>
      <c r="DJ4" s="29"/>
      <c r="DK4" s="29"/>
      <c r="DL4" s="29"/>
      <c r="DM4" s="29"/>
    </row>
    <row r="5" spans="1:117" ht="18.75" customHeight="1">
      <c r="A5" s="59">
        <v>3</v>
      </c>
      <c r="B5" s="59" t="s">
        <v>19</v>
      </c>
      <c r="C5" s="54" t="s">
        <v>713</v>
      </c>
      <c r="D5" s="49" t="s">
        <v>470</v>
      </c>
      <c r="E5" s="49"/>
      <c r="F5" s="49"/>
      <c r="G5" s="50"/>
      <c r="H5" s="79"/>
      <c r="I5" s="59"/>
      <c r="J5" s="138"/>
      <c r="K5" s="138"/>
      <c r="L5" s="52"/>
      <c r="M5" s="89"/>
      <c r="N5" s="89"/>
      <c r="O5" s="52"/>
      <c r="P5" s="8"/>
      <c r="Q5" s="8">
        <f t="shared" si="2"/>
        <v>0</v>
      </c>
      <c r="R5" s="8">
        <f t="shared" si="0"/>
        <v>0</v>
      </c>
      <c r="S5" s="8">
        <f t="shared" si="1"/>
        <v>0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29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162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3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29"/>
      <c r="DE5" s="29"/>
      <c r="DF5" s="29"/>
      <c r="DG5" s="29"/>
      <c r="DH5" s="29"/>
      <c r="DI5" s="29"/>
      <c r="DJ5" s="29"/>
      <c r="DK5" s="29"/>
      <c r="DL5" s="29"/>
      <c r="DM5" s="29"/>
    </row>
    <row r="6" spans="1:117" ht="18.75" customHeight="1">
      <c r="A6" s="59">
        <v>4</v>
      </c>
      <c r="B6" s="59" t="s">
        <v>19</v>
      </c>
      <c r="C6" s="54" t="s">
        <v>713</v>
      </c>
      <c r="D6" s="50" t="s">
        <v>471</v>
      </c>
      <c r="E6" s="50"/>
      <c r="F6" s="50"/>
      <c r="G6" s="50"/>
      <c r="H6" s="79"/>
      <c r="I6" s="59"/>
      <c r="J6" s="138"/>
      <c r="K6" s="138"/>
      <c r="L6" s="52"/>
      <c r="M6" s="89"/>
      <c r="N6" s="89"/>
      <c r="O6" s="52"/>
      <c r="P6" s="8"/>
      <c r="Q6" s="8">
        <f t="shared" si="2"/>
        <v>0</v>
      </c>
      <c r="R6" s="8">
        <f t="shared" si="0"/>
        <v>0</v>
      </c>
      <c r="S6" s="8">
        <f t="shared" si="1"/>
        <v>0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29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162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3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29"/>
      <c r="DE6" s="29"/>
      <c r="DF6" s="29"/>
      <c r="DG6" s="29"/>
      <c r="DH6" s="29"/>
      <c r="DI6" s="29"/>
      <c r="DJ6" s="29"/>
      <c r="DK6" s="29"/>
      <c r="DL6" s="29"/>
      <c r="DM6" s="8"/>
    </row>
    <row r="7" spans="1:117" ht="18.75" customHeight="1">
      <c r="A7" s="59">
        <v>5</v>
      </c>
      <c r="B7" s="59" t="s">
        <v>19</v>
      </c>
      <c r="C7" s="54" t="s">
        <v>714</v>
      </c>
      <c r="D7" s="51" t="s">
        <v>475</v>
      </c>
      <c r="E7" s="51"/>
      <c r="F7" s="51"/>
      <c r="G7" s="50"/>
      <c r="H7" s="79"/>
      <c r="I7" s="59"/>
      <c r="J7" s="138"/>
      <c r="K7" s="138"/>
      <c r="L7" s="52"/>
      <c r="M7" s="89"/>
      <c r="N7" s="89"/>
      <c r="O7" s="52"/>
      <c r="P7" s="8"/>
      <c r="Q7" s="8">
        <f t="shared" si="2"/>
        <v>0</v>
      </c>
      <c r="R7" s="8">
        <f t="shared" si="0"/>
        <v>0</v>
      </c>
      <c r="S7" s="8">
        <f t="shared" si="1"/>
        <v>0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29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162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3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29"/>
      <c r="DE7" s="29"/>
      <c r="DF7" s="29"/>
      <c r="DG7" s="29"/>
      <c r="DH7" s="29"/>
      <c r="DI7" s="29"/>
      <c r="DJ7" s="29"/>
      <c r="DK7" s="29"/>
      <c r="DL7" s="29"/>
      <c r="DM7" s="8"/>
    </row>
    <row r="8" spans="1:117" ht="18.75" customHeight="1">
      <c r="A8" s="59">
        <v>6</v>
      </c>
      <c r="B8" s="59" t="s">
        <v>19</v>
      </c>
      <c r="C8" s="54" t="s">
        <v>715</v>
      </c>
      <c r="D8" s="51" t="s">
        <v>477</v>
      </c>
      <c r="E8" s="51"/>
      <c r="F8" s="51"/>
      <c r="G8" s="50"/>
      <c r="H8" s="79"/>
      <c r="I8" s="59"/>
      <c r="J8" s="138"/>
      <c r="K8" s="138"/>
      <c r="L8" s="52"/>
      <c r="M8" s="89"/>
      <c r="N8" s="89"/>
      <c r="O8" s="52"/>
      <c r="P8" s="8"/>
      <c r="Q8" s="8">
        <f t="shared" si="2"/>
        <v>0</v>
      </c>
      <c r="R8" s="8">
        <f t="shared" si="0"/>
        <v>0</v>
      </c>
      <c r="S8" s="8">
        <f t="shared" si="1"/>
        <v>0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29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162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3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29"/>
      <c r="DE8" s="29"/>
      <c r="DF8" s="29"/>
      <c r="DG8" s="29"/>
      <c r="DH8" s="29"/>
      <c r="DI8" s="29"/>
      <c r="DJ8" s="29"/>
      <c r="DK8" s="29"/>
      <c r="DL8" s="29"/>
      <c r="DM8" s="8"/>
    </row>
    <row r="9" spans="1:117" ht="18.75" customHeight="1">
      <c r="A9" s="59">
        <v>7</v>
      </c>
      <c r="B9" s="52" t="s">
        <v>19</v>
      </c>
      <c r="C9" s="54" t="s">
        <v>715</v>
      </c>
      <c r="D9" s="51" t="s">
        <v>68</v>
      </c>
      <c r="E9" s="51"/>
      <c r="F9" s="51"/>
      <c r="G9" s="50"/>
      <c r="H9" s="79"/>
      <c r="I9" s="59"/>
      <c r="J9" s="138"/>
      <c r="K9" s="138"/>
      <c r="L9" s="52"/>
      <c r="M9" s="89"/>
      <c r="N9" s="89"/>
      <c r="O9" s="52"/>
      <c r="P9" s="8"/>
      <c r="Q9" s="8">
        <f t="shared" si="2"/>
        <v>0</v>
      </c>
      <c r="R9" s="8">
        <f t="shared" si="0"/>
        <v>0</v>
      </c>
      <c r="S9" s="8">
        <f t="shared" si="1"/>
        <v>0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29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162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3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29"/>
      <c r="DE9" s="29"/>
      <c r="DF9" s="29"/>
      <c r="DG9" s="29"/>
      <c r="DH9" s="29"/>
      <c r="DI9" s="29"/>
      <c r="DJ9" s="29"/>
      <c r="DK9" s="29"/>
      <c r="DL9" s="29"/>
      <c r="DM9" s="8"/>
    </row>
    <row r="10" spans="1:117" ht="18.75" customHeight="1">
      <c r="A10" s="59">
        <v>8</v>
      </c>
      <c r="B10" s="59" t="s">
        <v>19</v>
      </c>
      <c r="C10" s="54" t="s">
        <v>713</v>
      </c>
      <c r="D10" s="50" t="s">
        <v>568</v>
      </c>
      <c r="E10" s="50"/>
      <c r="F10" s="50"/>
      <c r="G10" s="50"/>
      <c r="H10" s="79"/>
      <c r="I10" s="59"/>
      <c r="J10" s="138"/>
      <c r="K10" s="138"/>
      <c r="L10" s="52"/>
      <c r="M10" s="89"/>
      <c r="N10" s="89"/>
      <c r="O10" s="52"/>
      <c r="P10" s="8"/>
      <c r="Q10" s="8">
        <f t="shared" si="2"/>
        <v>0</v>
      </c>
      <c r="R10" s="8">
        <f t="shared" si="0"/>
        <v>0</v>
      </c>
      <c r="S10" s="8">
        <f t="shared" si="1"/>
        <v>0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8"/>
      <c r="BD10" s="162"/>
      <c r="BE10" s="8"/>
      <c r="BF10" s="8"/>
      <c r="BG10" s="8"/>
      <c r="BH10" s="8"/>
      <c r="BI10" s="8"/>
      <c r="BJ10" s="8"/>
      <c r="BK10" s="8"/>
      <c r="BL10" s="8"/>
      <c r="BM10" s="2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3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29"/>
      <c r="DE10" s="29"/>
      <c r="DF10" s="29"/>
      <c r="DG10" s="29"/>
      <c r="DH10" s="29"/>
      <c r="DI10" s="29"/>
      <c r="DJ10" s="29"/>
      <c r="DK10" s="29"/>
      <c r="DL10" s="29"/>
      <c r="DM10" s="8"/>
    </row>
    <row r="11" spans="1:117" ht="18.75" customHeight="1">
      <c r="A11" s="59">
        <v>9</v>
      </c>
      <c r="B11" s="59" t="s">
        <v>19</v>
      </c>
      <c r="C11" s="54" t="s">
        <v>714</v>
      </c>
      <c r="D11" s="51" t="s">
        <v>479</v>
      </c>
      <c r="E11" s="51"/>
      <c r="F11" s="51"/>
      <c r="G11" s="50"/>
      <c r="H11" s="79"/>
      <c r="I11" s="59"/>
      <c r="J11" s="138"/>
      <c r="K11" s="138"/>
      <c r="L11" s="52"/>
      <c r="M11" s="89"/>
      <c r="N11" s="89"/>
      <c r="O11" s="52"/>
      <c r="P11" s="8"/>
      <c r="Q11" s="8">
        <f t="shared" si="2"/>
        <v>0</v>
      </c>
      <c r="R11" s="8">
        <f t="shared" si="0"/>
        <v>0</v>
      </c>
      <c r="S11" s="8">
        <f t="shared" si="1"/>
        <v>0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29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162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3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29"/>
      <c r="DE11" s="29"/>
      <c r="DF11" s="29"/>
      <c r="DG11" s="29"/>
      <c r="DH11" s="29"/>
      <c r="DI11" s="29"/>
      <c r="DJ11" s="29"/>
      <c r="DK11" s="29"/>
      <c r="DL11" s="29"/>
      <c r="DM11" s="8"/>
    </row>
    <row r="12" spans="1:117" ht="18.75" customHeight="1">
      <c r="A12" s="59">
        <v>10</v>
      </c>
      <c r="B12" s="59" t="s">
        <v>19</v>
      </c>
      <c r="C12" s="54" t="s">
        <v>715</v>
      </c>
      <c r="D12" s="50" t="s">
        <v>569</v>
      </c>
      <c r="E12" s="50"/>
      <c r="F12" s="50"/>
      <c r="G12" s="50"/>
      <c r="H12" s="80"/>
      <c r="I12" s="80"/>
      <c r="J12" s="139"/>
      <c r="K12" s="139"/>
      <c r="L12" s="52"/>
      <c r="M12" s="50"/>
      <c r="N12" s="50"/>
      <c r="O12" s="51"/>
      <c r="P12" s="8"/>
      <c r="Q12" s="8">
        <f t="shared" si="2"/>
        <v>0</v>
      </c>
      <c r="R12" s="8">
        <f t="shared" si="0"/>
        <v>0</v>
      </c>
      <c r="S12" s="29">
        <f t="shared" si="1"/>
        <v>0</v>
      </c>
      <c r="T12" s="34"/>
      <c r="U12" s="34"/>
      <c r="V12" s="34"/>
      <c r="W12" s="34"/>
      <c r="X12" s="34"/>
      <c r="Y12" s="34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162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6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29"/>
    </row>
    <row r="13" spans="1:117" ht="18.75" customHeight="1">
      <c r="A13" s="59">
        <v>11</v>
      </c>
      <c r="B13" s="59" t="s">
        <v>19</v>
      </c>
      <c r="C13" s="54" t="s">
        <v>714</v>
      </c>
      <c r="D13" s="50" t="s">
        <v>570</v>
      </c>
      <c r="E13" s="50"/>
      <c r="F13" s="50"/>
      <c r="G13" s="50"/>
      <c r="H13" s="79"/>
      <c r="I13" s="59"/>
      <c r="J13" s="138"/>
      <c r="K13" s="138"/>
      <c r="L13" s="52"/>
      <c r="M13" s="89"/>
      <c r="N13" s="89"/>
      <c r="O13" s="52"/>
      <c r="P13" s="8"/>
      <c r="Q13" s="8">
        <f t="shared" si="2"/>
        <v>0</v>
      </c>
      <c r="R13" s="8">
        <f t="shared" si="0"/>
        <v>0</v>
      </c>
      <c r="S13" s="29">
        <f t="shared" si="1"/>
        <v>0</v>
      </c>
      <c r="T13" s="8"/>
      <c r="U13" s="12"/>
      <c r="V13" s="12"/>
      <c r="W13" s="12"/>
      <c r="X13" s="12"/>
      <c r="Y13" s="12"/>
      <c r="Z13" s="8"/>
      <c r="AA13" s="8"/>
      <c r="AB13" s="8"/>
      <c r="AC13" s="8"/>
      <c r="AD13" s="8"/>
      <c r="AE13" s="8"/>
      <c r="AF13" s="8"/>
      <c r="AG13" s="8"/>
      <c r="AH13" s="8"/>
      <c r="AI13" s="29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162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39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31"/>
      <c r="DE13" s="31"/>
      <c r="DF13" s="31"/>
      <c r="DG13" s="31"/>
      <c r="DH13" s="31"/>
      <c r="DI13" s="31"/>
      <c r="DJ13" s="31"/>
      <c r="DK13" s="31"/>
      <c r="DL13" s="31"/>
      <c r="DM13" s="12"/>
    </row>
    <row r="14" spans="1:117" ht="18.75" customHeight="1">
      <c r="A14" s="59">
        <v>12</v>
      </c>
      <c r="B14" s="59" t="s">
        <v>19</v>
      </c>
      <c r="C14" s="54" t="s">
        <v>715</v>
      </c>
      <c r="D14" s="50" t="s">
        <v>487</v>
      </c>
      <c r="E14" s="50"/>
      <c r="F14" s="50"/>
      <c r="G14" s="50"/>
      <c r="H14" s="79"/>
      <c r="I14" s="59"/>
      <c r="J14" s="138"/>
      <c r="K14" s="138"/>
      <c r="L14" s="52"/>
      <c r="M14" s="89"/>
      <c r="N14" s="89"/>
      <c r="O14" s="52"/>
      <c r="P14" s="8"/>
      <c r="Q14" s="8">
        <f t="shared" si="2"/>
        <v>0</v>
      </c>
      <c r="R14" s="8">
        <f t="shared" si="0"/>
        <v>0</v>
      </c>
      <c r="S14" s="29">
        <f t="shared" si="1"/>
        <v>0</v>
      </c>
      <c r="T14" s="8"/>
      <c r="U14" s="12"/>
      <c r="V14" s="12"/>
      <c r="W14" s="12"/>
      <c r="X14" s="12"/>
      <c r="Y14" s="12"/>
      <c r="Z14" s="8"/>
      <c r="AA14" s="8"/>
      <c r="AB14" s="8"/>
      <c r="AC14" s="8"/>
      <c r="AD14" s="8"/>
      <c r="AE14" s="8"/>
      <c r="AF14" s="8"/>
      <c r="AG14" s="8"/>
      <c r="AH14" s="8"/>
      <c r="AI14" s="29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162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39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31"/>
      <c r="DE14" s="31"/>
      <c r="DF14" s="31"/>
      <c r="DG14" s="31"/>
      <c r="DH14" s="31"/>
      <c r="DI14" s="31"/>
      <c r="DJ14" s="31"/>
      <c r="DK14" s="31"/>
      <c r="DL14" s="31"/>
      <c r="DM14" s="12"/>
    </row>
    <row r="15" spans="1:117" ht="18.75" customHeight="1">
      <c r="A15" s="59">
        <v>13</v>
      </c>
      <c r="B15" s="59" t="s">
        <v>19</v>
      </c>
      <c r="C15" s="54" t="s">
        <v>714</v>
      </c>
      <c r="D15" s="53" t="s">
        <v>296</v>
      </c>
      <c r="E15" s="53"/>
      <c r="F15" s="53"/>
      <c r="G15" s="50"/>
      <c r="H15" s="79"/>
      <c r="I15" s="59"/>
      <c r="J15" s="138"/>
      <c r="K15" s="138"/>
      <c r="L15" s="52"/>
      <c r="M15" s="89"/>
      <c r="N15" s="89"/>
      <c r="O15" s="52"/>
      <c r="P15" s="8"/>
      <c r="Q15" s="8">
        <f t="shared" si="2"/>
        <v>0</v>
      </c>
      <c r="R15" s="8">
        <f t="shared" si="0"/>
        <v>0</v>
      </c>
      <c r="S15" s="29">
        <f t="shared" si="1"/>
        <v>0</v>
      </c>
      <c r="T15" s="8"/>
      <c r="U15" s="12"/>
      <c r="V15" s="12"/>
      <c r="W15" s="12"/>
      <c r="X15" s="12"/>
      <c r="Y15" s="12"/>
      <c r="Z15" s="8"/>
      <c r="AA15" s="8"/>
      <c r="AB15" s="8"/>
      <c r="AC15" s="8"/>
      <c r="AD15" s="8"/>
      <c r="AE15" s="8"/>
      <c r="AF15" s="8"/>
      <c r="AG15" s="8"/>
      <c r="AH15" s="8"/>
      <c r="AI15" s="29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162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39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</row>
    <row r="16" spans="1:117" ht="18.75" customHeight="1">
      <c r="A16" s="59">
        <v>14</v>
      </c>
      <c r="B16" s="59" t="s">
        <v>19</v>
      </c>
      <c r="C16" s="54" t="s">
        <v>716</v>
      </c>
      <c r="D16" s="51" t="s">
        <v>500</v>
      </c>
      <c r="E16" s="51"/>
      <c r="F16" s="51"/>
      <c r="G16" s="50"/>
      <c r="H16" s="79"/>
      <c r="I16" s="81"/>
      <c r="J16" s="140"/>
      <c r="K16" s="140"/>
      <c r="L16" s="84"/>
      <c r="M16" s="89"/>
      <c r="N16" s="89"/>
      <c r="O16" s="52"/>
      <c r="P16" s="8"/>
      <c r="Q16" s="8">
        <f t="shared" si="2"/>
        <v>0</v>
      </c>
      <c r="R16" s="8">
        <f t="shared" si="0"/>
        <v>0</v>
      </c>
      <c r="S16" s="29">
        <f t="shared" si="1"/>
        <v>0</v>
      </c>
      <c r="T16" s="8"/>
      <c r="U16" s="12"/>
      <c r="V16" s="12"/>
      <c r="W16" s="12"/>
      <c r="X16" s="12"/>
      <c r="Y16" s="12"/>
      <c r="Z16" s="12"/>
      <c r="AA16" s="12"/>
      <c r="AB16" s="8"/>
      <c r="AC16" s="8"/>
      <c r="AD16" s="8"/>
      <c r="AE16" s="8"/>
      <c r="AF16" s="8"/>
      <c r="AG16" s="12"/>
      <c r="AH16" s="12"/>
      <c r="AI16" s="31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63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39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31"/>
      <c r="DE16" s="31"/>
      <c r="DF16" s="31"/>
      <c r="DG16" s="31"/>
      <c r="DH16" s="31"/>
      <c r="DI16" s="31"/>
      <c r="DJ16" s="31"/>
      <c r="DK16" s="31"/>
      <c r="DL16" s="31"/>
      <c r="DM16" s="12"/>
    </row>
    <row r="17" spans="1:117" ht="18.75" customHeight="1">
      <c r="A17" s="59">
        <v>15</v>
      </c>
      <c r="B17" s="59" t="s">
        <v>19</v>
      </c>
      <c r="C17" s="54" t="s">
        <v>714</v>
      </c>
      <c r="D17" s="51" t="s">
        <v>516</v>
      </c>
      <c r="E17" s="51"/>
      <c r="F17" s="51"/>
      <c r="G17" s="50"/>
      <c r="H17" s="79"/>
      <c r="I17" s="81"/>
      <c r="J17" s="140"/>
      <c r="K17" s="140"/>
      <c r="L17" s="84"/>
      <c r="M17" s="89"/>
      <c r="N17" s="89"/>
      <c r="O17" s="52"/>
      <c r="P17" s="8"/>
      <c r="Q17" s="8">
        <f t="shared" si="2"/>
        <v>0</v>
      </c>
      <c r="R17" s="8">
        <f t="shared" si="0"/>
        <v>0</v>
      </c>
      <c r="S17" s="29">
        <f t="shared" si="1"/>
        <v>0</v>
      </c>
      <c r="T17" s="8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3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63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39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31"/>
      <c r="DE17" s="31"/>
      <c r="DF17" s="31"/>
      <c r="DG17" s="31"/>
      <c r="DH17" s="31"/>
      <c r="DI17" s="31"/>
      <c r="DJ17" s="31"/>
      <c r="DK17" s="31"/>
      <c r="DL17" s="31"/>
      <c r="DM17" s="12"/>
    </row>
    <row r="18" spans="1:117" ht="18.75" customHeight="1">
      <c r="A18" s="59">
        <v>16</v>
      </c>
      <c r="B18" s="59" t="s">
        <v>19</v>
      </c>
      <c r="C18" s="54" t="s">
        <v>716</v>
      </c>
      <c r="D18" s="51" t="s">
        <v>517</v>
      </c>
      <c r="E18" s="51"/>
      <c r="F18" s="51"/>
      <c r="G18" s="50"/>
      <c r="H18" s="79"/>
      <c r="I18" s="81"/>
      <c r="J18" s="140"/>
      <c r="K18" s="140"/>
      <c r="L18" s="84"/>
      <c r="M18" s="89"/>
      <c r="N18" s="89"/>
      <c r="O18" s="52"/>
      <c r="P18" s="8"/>
      <c r="Q18" s="8">
        <f t="shared" si="2"/>
        <v>0</v>
      </c>
      <c r="R18" s="8">
        <f t="shared" si="0"/>
        <v>0</v>
      </c>
      <c r="S18" s="29">
        <f t="shared" si="1"/>
        <v>0</v>
      </c>
      <c r="T18" s="8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31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63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39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31"/>
      <c r="DE18" s="31"/>
      <c r="DF18" s="31"/>
      <c r="DG18" s="31"/>
      <c r="DH18" s="31"/>
      <c r="DI18" s="31"/>
      <c r="DJ18" s="31"/>
      <c r="DK18" s="31"/>
      <c r="DL18" s="31"/>
      <c r="DM18" s="31"/>
    </row>
    <row r="19" spans="1:117" ht="18.75" customHeight="1">
      <c r="A19" s="59">
        <v>17</v>
      </c>
      <c r="B19" s="59" t="s">
        <v>19</v>
      </c>
      <c r="C19" s="54" t="s">
        <v>713</v>
      </c>
      <c r="D19" s="51" t="s">
        <v>37</v>
      </c>
      <c r="E19" s="51"/>
      <c r="F19" s="51"/>
      <c r="G19" s="50"/>
      <c r="H19" s="79"/>
      <c r="I19" s="81"/>
      <c r="J19" s="140"/>
      <c r="K19" s="140"/>
      <c r="L19" s="84"/>
      <c r="M19" s="89"/>
      <c r="N19" s="89"/>
      <c r="O19" s="52"/>
      <c r="P19" s="8"/>
      <c r="Q19" s="8">
        <f t="shared" si="2"/>
        <v>0</v>
      </c>
      <c r="R19" s="8">
        <f t="shared" si="0"/>
        <v>0</v>
      </c>
      <c r="S19" s="29">
        <f t="shared" si="1"/>
        <v>0</v>
      </c>
      <c r="T19" s="8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31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63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39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31"/>
      <c r="DE19" s="31"/>
      <c r="DF19" s="31"/>
      <c r="DG19" s="31"/>
      <c r="DH19" s="31"/>
      <c r="DI19" s="31"/>
      <c r="DJ19" s="31"/>
      <c r="DK19" s="31"/>
      <c r="DL19" s="31"/>
      <c r="DM19" s="31"/>
    </row>
    <row r="20" spans="1:117" ht="18.75" customHeight="1">
      <c r="A20" s="59">
        <v>18</v>
      </c>
      <c r="B20" s="52" t="s">
        <v>19</v>
      </c>
      <c r="C20" s="52"/>
      <c r="D20" s="51" t="s">
        <v>47</v>
      </c>
      <c r="E20" s="51"/>
      <c r="F20" s="51"/>
      <c r="G20" s="50"/>
      <c r="H20" s="52"/>
      <c r="I20" s="52"/>
      <c r="J20" s="140"/>
      <c r="K20" s="140"/>
      <c r="L20" s="52"/>
      <c r="M20" s="89"/>
      <c r="N20" s="89"/>
      <c r="O20" s="52"/>
      <c r="P20" s="8"/>
      <c r="Q20" s="8">
        <f t="shared" si="2"/>
        <v>0</v>
      </c>
      <c r="R20" s="8">
        <f t="shared" si="0"/>
        <v>0</v>
      </c>
      <c r="S20" s="29">
        <f t="shared" si="1"/>
        <v>0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163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40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</row>
    <row r="21" spans="1:117" ht="18.75" customHeight="1">
      <c r="A21" s="59">
        <v>19</v>
      </c>
      <c r="B21" s="52" t="s">
        <v>19</v>
      </c>
      <c r="C21" s="52"/>
      <c r="D21" s="51" t="s">
        <v>541</v>
      </c>
      <c r="E21" s="51"/>
      <c r="F21" s="51"/>
      <c r="G21" s="50"/>
      <c r="H21" s="80"/>
      <c r="I21" s="52"/>
      <c r="J21" s="140"/>
      <c r="K21" s="140"/>
      <c r="L21" s="52"/>
      <c r="M21" s="89"/>
      <c r="N21" s="89"/>
      <c r="O21" s="52"/>
      <c r="P21" s="8"/>
      <c r="Q21" s="8">
        <f t="shared" si="2"/>
        <v>0</v>
      </c>
      <c r="R21" s="8">
        <f t="shared" si="0"/>
        <v>0</v>
      </c>
      <c r="S21" s="29">
        <f t="shared" si="1"/>
        <v>0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163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9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</row>
    <row r="22" spans="1:117" ht="18.75" customHeight="1">
      <c r="A22" s="59">
        <v>20</v>
      </c>
      <c r="B22" s="52" t="s">
        <v>19</v>
      </c>
      <c r="C22" s="52"/>
      <c r="D22" s="54" t="s">
        <v>40</v>
      </c>
      <c r="E22" s="54"/>
      <c r="F22" s="54"/>
      <c r="G22" s="50"/>
      <c r="H22" s="80"/>
      <c r="I22" s="52"/>
      <c r="J22" s="140"/>
      <c r="K22" s="140"/>
      <c r="L22" s="52"/>
      <c r="M22" s="89"/>
      <c r="N22" s="89"/>
      <c r="O22" s="52"/>
      <c r="P22" s="8"/>
      <c r="Q22" s="8">
        <f t="shared" si="2"/>
        <v>0</v>
      </c>
      <c r="R22" s="8">
        <f t="shared" ref="R22:R85" si="3">SUM(T22:DM22)</f>
        <v>0</v>
      </c>
      <c r="S22" s="29">
        <f t="shared" si="1"/>
        <v>0</v>
      </c>
      <c r="T22" s="29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163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9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</row>
    <row r="23" spans="1:117" ht="18.75" customHeight="1">
      <c r="A23" s="59">
        <v>21</v>
      </c>
      <c r="B23" s="52" t="s">
        <v>19</v>
      </c>
      <c r="C23" s="52"/>
      <c r="D23" s="51" t="s">
        <v>39</v>
      </c>
      <c r="E23" s="51"/>
      <c r="F23" s="51"/>
      <c r="G23" s="50"/>
      <c r="H23" s="80"/>
      <c r="I23" s="52"/>
      <c r="J23" s="141"/>
      <c r="K23" s="141"/>
      <c r="L23" s="52"/>
      <c r="M23" s="89"/>
      <c r="N23" s="89"/>
      <c r="O23" s="52"/>
      <c r="P23" s="8"/>
      <c r="Q23" s="8">
        <f t="shared" si="2"/>
        <v>0</v>
      </c>
      <c r="R23" s="8">
        <f t="shared" si="3"/>
        <v>0</v>
      </c>
      <c r="S23" s="29">
        <f t="shared" si="1"/>
        <v>0</v>
      </c>
      <c r="T23" s="29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163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9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</row>
    <row r="24" spans="1:117" ht="18.75" customHeight="1">
      <c r="A24" s="59">
        <v>22</v>
      </c>
      <c r="B24" s="52" t="s">
        <v>19</v>
      </c>
      <c r="C24" s="52"/>
      <c r="D24" s="51" t="s">
        <v>11</v>
      </c>
      <c r="E24" s="51"/>
      <c r="F24" s="51"/>
      <c r="G24" s="50"/>
      <c r="H24" s="80"/>
      <c r="I24" s="80"/>
      <c r="J24" s="141"/>
      <c r="K24" s="141"/>
      <c r="L24" s="52"/>
      <c r="M24" s="89"/>
      <c r="N24" s="89"/>
      <c r="O24" s="52"/>
      <c r="P24" s="8"/>
      <c r="Q24" s="8">
        <f t="shared" si="2"/>
        <v>0</v>
      </c>
      <c r="R24" s="8">
        <f t="shared" si="3"/>
        <v>0</v>
      </c>
      <c r="S24" s="29">
        <f t="shared" si="1"/>
        <v>0</v>
      </c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163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6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</row>
    <row r="25" spans="1:117" ht="18.75" customHeight="1">
      <c r="A25" s="59">
        <v>23</v>
      </c>
      <c r="B25" s="52" t="s">
        <v>19</v>
      </c>
      <c r="C25" s="52"/>
      <c r="D25" s="51" t="s">
        <v>53</v>
      </c>
      <c r="E25" s="51"/>
      <c r="F25" s="51"/>
      <c r="G25" s="50"/>
      <c r="H25" s="80"/>
      <c r="I25" s="52"/>
      <c r="J25" s="141"/>
      <c r="K25" s="141"/>
      <c r="L25" s="52"/>
      <c r="M25" s="89"/>
      <c r="N25" s="89"/>
      <c r="O25" s="52"/>
      <c r="P25" s="8"/>
      <c r="Q25" s="8">
        <f t="shared" si="2"/>
        <v>0</v>
      </c>
      <c r="R25" s="8">
        <f t="shared" si="3"/>
        <v>0</v>
      </c>
      <c r="S25" s="29">
        <f t="shared" si="1"/>
        <v>0</v>
      </c>
      <c r="T25" s="29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163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9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</row>
    <row r="26" spans="1:117" ht="18.75" customHeight="1">
      <c r="A26" s="59">
        <v>24</v>
      </c>
      <c r="B26" s="52" t="s">
        <v>19</v>
      </c>
      <c r="C26" s="52"/>
      <c r="D26" s="51" t="s">
        <v>50</v>
      </c>
      <c r="E26" s="51"/>
      <c r="F26" s="51"/>
      <c r="G26" s="50"/>
      <c r="H26" s="80"/>
      <c r="I26" s="80"/>
      <c r="J26" s="141"/>
      <c r="K26" s="141"/>
      <c r="L26" s="52"/>
      <c r="M26" s="89"/>
      <c r="N26" s="89"/>
      <c r="O26" s="52"/>
      <c r="P26" s="8"/>
      <c r="Q26" s="8">
        <f t="shared" si="2"/>
        <v>0</v>
      </c>
      <c r="R26" s="8">
        <f t="shared" si="3"/>
        <v>0</v>
      </c>
      <c r="S26" s="29">
        <f t="shared" si="1"/>
        <v>0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163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6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</row>
    <row r="27" spans="1:117" ht="18.75" customHeight="1">
      <c r="A27" s="59">
        <v>25</v>
      </c>
      <c r="B27" s="52" t="s">
        <v>19</v>
      </c>
      <c r="C27" s="52"/>
      <c r="D27" s="51" t="s">
        <v>562</v>
      </c>
      <c r="E27" s="51"/>
      <c r="F27" s="51"/>
      <c r="G27" s="50"/>
      <c r="H27" s="80"/>
      <c r="I27" s="52"/>
      <c r="J27" s="141"/>
      <c r="K27" s="141"/>
      <c r="L27" s="52"/>
      <c r="M27" s="89"/>
      <c r="N27" s="89"/>
      <c r="O27" s="52"/>
      <c r="P27" s="8"/>
      <c r="Q27" s="8">
        <f t="shared" si="2"/>
        <v>0</v>
      </c>
      <c r="R27" s="8">
        <f t="shared" si="3"/>
        <v>0</v>
      </c>
      <c r="S27" s="29">
        <f t="shared" si="1"/>
        <v>0</v>
      </c>
      <c r="T27" s="29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163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9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</row>
    <row r="28" spans="1:117" ht="18.75" customHeight="1">
      <c r="A28" s="59">
        <v>26</v>
      </c>
      <c r="B28" s="52" t="s">
        <v>19</v>
      </c>
      <c r="C28" s="52"/>
      <c r="D28" s="51" t="s">
        <v>58</v>
      </c>
      <c r="E28" s="51"/>
      <c r="F28" s="51"/>
      <c r="G28" s="50"/>
      <c r="H28" s="52"/>
      <c r="I28" s="52"/>
      <c r="J28" s="141"/>
      <c r="K28" s="141"/>
      <c r="L28" s="52"/>
      <c r="M28" s="89"/>
      <c r="N28" s="89"/>
      <c r="O28" s="52"/>
      <c r="P28" s="8"/>
      <c r="Q28" s="8">
        <f t="shared" si="2"/>
        <v>0</v>
      </c>
      <c r="R28" s="8">
        <f t="shared" si="3"/>
        <v>0</v>
      </c>
      <c r="S28" s="29">
        <f t="shared" si="1"/>
        <v>0</v>
      </c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163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6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</row>
    <row r="29" spans="1:117" ht="18.75" customHeight="1">
      <c r="A29" s="59">
        <v>27</v>
      </c>
      <c r="B29" s="52" t="s">
        <v>19</v>
      </c>
      <c r="C29" s="52"/>
      <c r="D29" s="51" t="s">
        <v>56</v>
      </c>
      <c r="E29" s="51"/>
      <c r="F29" s="51"/>
      <c r="G29" s="50"/>
      <c r="H29" s="80"/>
      <c r="I29" s="52"/>
      <c r="J29" s="141"/>
      <c r="K29" s="141"/>
      <c r="L29" s="52"/>
      <c r="M29" s="89"/>
      <c r="N29" s="89"/>
      <c r="O29" s="52"/>
      <c r="P29" s="8"/>
      <c r="Q29" s="8">
        <f t="shared" si="2"/>
        <v>0</v>
      </c>
      <c r="R29" s="8">
        <f t="shared" si="3"/>
        <v>0</v>
      </c>
      <c r="S29" s="29">
        <f t="shared" si="1"/>
        <v>0</v>
      </c>
      <c r="T29" s="29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163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9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</row>
    <row r="30" spans="1:117" ht="18.75" customHeight="1">
      <c r="A30" s="59">
        <v>28</v>
      </c>
      <c r="B30" s="52" t="s">
        <v>19</v>
      </c>
      <c r="C30" s="52"/>
      <c r="D30" s="51" t="s">
        <v>44</v>
      </c>
      <c r="E30" s="51"/>
      <c r="F30" s="51"/>
      <c r="G30" s="50"/>
      <c r="H30" s="80"/>
      <c r="I30" s="52"/>
      <c r="J30" s="141"/>
      <c r="K30" s="141"/>
      <c r="L30" s="52"/>
      <c r="M30" s="89"/>
      <c r="N30" s="89"/>
      <c r="O30" s="52"/>
      <c r="P30" s="8"/>
      <c r="Q30" s="8">
        <f t="shared" si="2"/>
        <v>0</v>
      </c>
      <c r="R30" s="8">
        <f t="shared" si="3"/>
        <v>0</v>
      </c>
      <c r="S30" s="29">
        <f t="shared" si="1"/>
        <v>0</v>
      </c>
      <c r="T30" s="29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163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9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</row>
    <row r="31" spans="1:117" ht="18.75" customHeight="1">
      <c r="A31" s="59">
        <v>29</v>
      </c>
      <c r="B31" s="52" t="s">
        <v>19</v>
      </c>
      <c r="C31" s="52"/>
      <c r="D31" s="51" t="s">
        <v>45</v>
      </c>
      <c r="E31" s="51"/>
      <c r="F31" s="51"/>
      <c r="G31" s="50"/>
      <c r="H31" s="80"/>
      <c r="I31" s="80"/>
      <c r="J31" s="141"/>
      <c r="K31" s="141"/>
      <c r="L31" s="80"/>
      <c r="M31" s="89"/>
      <c r="N31" s="89"/>
      <c r="O31" s="80"/>
      <c r="P31" s="8"/>
      <c r="Q31" s="8">
        <f t="shared" si="2"/>
        <v>0</v>
      </c>
      <c r="R31" s="8">
        <f t="shared" si="3"/>
        <v>0</v>
      </c>
      <c r="S31" s="29">
        <f t="shared" si="1"/>
        <v>0</v>
      </c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163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6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</row>
    <row r="32" spans="1:117" ht="18.75" customHeight="1">
      <c r="A32" s="59">
        <v>30</v>
      </c>
      <c r="B32" s="52" t="s">
        <v>19</v>
      </c>
      <c r="C32" s="52"/>
      <c r="D32" s="51" t="s">
        <v>35</v>
      </c>
      <c r="E32" s="51"/>
      <c r="F32" s="51"/>
      <c r="G32" s="50"/>
      <c r="H32" s="52"/>
      <c r="I32" s="52"/>
      <c r="J32" s="141"/>
      <c r="K32" s="141"/>
      <c r="L32" s="52"/>
      <c r="M32" s="89"/>
      <c r="N32" s="89"/>
      <c r="O32" s="52"/>
      <c r="P32" s="8"/>
      <c r="Q32" s="8">
        <f t="shared" si="2"/>
        <v>0</v>
      </c>
      <c r="R32" s="8">
        <f t="shared" si="3"/>
        <v>0</v>
      </c>
      <c r="S32" s="29">
        <f t="shared" si="1"/>
        <v>0</v>
      </c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163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6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</row>
    <row r="33" spans="1:117" ht="18.75" customHeight="1">
      <c r="A33" s="59">
        <v>31</v>
      </c>
      <c r="B33" s="59" t="s">
        <v>19</v>
      </c>
      <c r="C33" s="59"/>
      <c r="D33" s="53" t="s">
        <v>4</v>
      </c>
      <c r="E33" s="53"/>
      <c r="F33" s="53"/>
      <c r="G33" s="50"/>
      <c r="H33" s="80"/>
      <c r="I33" s="80"/>
      <c r="J33" s="141"/>
      <c r="K33" s="141"/>
      <c r="L33" s="80"/>
      <c r="M33" s="89"/>
      <c r="N33" s="89"/>
      <c r="O33" s="51"/>
      <c r="P33" s="8"/>
      <c r="Q33" s="8">
        <f t="shared" si="2"/>
        <v>0</v>
      </c>
      <c r="R33" s="8">
        <f t="shared" si="3"/>
        <v>0</v>
      </c>
      <c r="S33" s="29">
        <f t="shared" si="1"/>
        <v>0</v>
      </c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163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6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</row>
    <row r="34" spans="1:117" ht="18.75" customHeight="1">
      <c r="A34" s="59">
        <v>32</v>
      </c>
      <c r="B34" s="59" t="s">
        <v>19</v>
      </c>
      <c r="C34" s="59"/>
      <c r="D34" s="51" t="s">
        <v>46</v>
      </c>
      <c r="E34" s="51"/>
      <c r="F34" s="51"/>
      <c r="G34" s="50"/>
      <c r="H34" s="52"/>
      <c r="I34" s="52"/>
      <c r="J34" s="141"/>
      <c r="K34" s="141"/>
      <c r="L34" s="80"/>
      <c r="M34" s="89"/>
      <c r="N34" s="89"/>
      <c r="O34" s="52"/>
      <c r="P34" s="8"/>
      <c r="Q34" s="8">
        <f t="shared" si="2"/>
        <v>0</v>
      </c>
      <c r="R34" s="8">
        <f t="shared" si="3"/>
        <v>0</v>
      </c>
      <c r="S34" s="29">
        <f t="shared" si="1"/>
        <v>0</v>
      </c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163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6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</row>
    <row r="35" spans="1:117" ht="18.75" customHeight="1">
      <c r="A35" s="59">
        <v>33</v>
      </c>
      <c r="B35" s="59" t="s">
        <v>19</v>
      </c>
      <c r="C35" s="59"/>
      <c r="D35" s="51" t="s">
        <v>54</v>
      </c>
      <c r="E35" s="51"/>
      <c r="F35" s="51"/>
      <c r="G35" s="50"/>
      <c r="H35" s="52"/>
      <c r="I35" s="52"/>
      <c r="J35" s="141"/>
      <c r="K35" s="141"/>
      <c r="L35" s="80"/>
      <c r="M35" s="89"/>
      <c r="N35" s="89"/>
      <c r="O35" s="52"/>
      <c r="P35" s="8"/>
      <c r="Q35" s="8">
        <f t="shared" si="2"/>
        <v>0</v>
      </c>
      <c r="R35" s="8">
        <f t="shared" si="3"/>
        <v>0</v>
      </c>
      <c r="S35" s="29">
        <f t="shared" si="1"/>
        <v>0</v>
      </c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163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6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</row>
    <row r="36" spans="1:117" ht="18.75" customHeight="1">
      <c r="A36" s="59">
        <v>34</v>
      </c>
      <c r="B36" s="59" t="s">
        <v>19</v>
      </c>
      <c r="C36" s="59"/>
      <c r="D36" s="51" t="s">
        <v>24</v>
      </c>
      <c r="E36" s="51"/>
      <c r="F36" s="51"/>
      <c r="G36" s="50"/>
      <c r="H36" s="52"/>
      <c r="I36" s="52"/>
      <c r="J36" s="141"/>
      <c r="K36" s="141"/>
      <c r="L36" s="80"/>
      <c r="M36" s="89"/>
      <c r="N36" s="89"/>
      <c r="O36" s="52"/>
      <c r="P36" s="8"/>
      <c r="Q36" s="8">
        <f t="shared" si="2"/>
        <v>0</v>
      </c>
      <c r="R36" s="8">
        <f t="shared" si="3"/>
        <v>0</v>
      </c>
      <c r="S36" s="29">
        <f t="shared" si="1"/>
        <v>0</v>
      </c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163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6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</row>
    <row r="37" spans="1:117" ht="18.75" customHeight="1">
      <c r="A37" s="59">
        <v>35</v>
      </c>
      <c r="B37" s="59" t="s">
        <v>19</v>
      </c>
      <c r="C37" s="59"/>
      <c r="D37" s="51" t="s">
        <v>578</v>
      </c>
      <c r="E37" s="51"/>
      <c r="F37" s="51"/>
      <c r="G37" s="50"/>
      <c r="H37" s="52"/>
      <c r="I37" s="52"/>
      <c r="J37" s="141"/>
      <c r="K37" s="141"/>
      <c r="L37" s="80"/>
      <c r="M37" s="89"/>
      <c r="N37" s="89"/>
      <c r="O37" s="51"/>
      <c r="P37" s="8"/>
      <c r="Q37" s="8">
        <f t="shared" si="2"/>
        <v>0</v>
      </c>
      <c r="R37" s="8">
        <f t="shared" si="3"/>
        <v>0</v>
      </c>
      <c r="S37" s="29">
        <f t="shared" si="1"/>
        <v>0</v>
      </c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163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6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</row>
    <row r="38" spans="1:117" ht="18.75" customHeight="1">
      <c r="A38" s="59">
        <v>36</v>
      </c>
      <c r="B38" s="59" t="s">
        <v>19</v>
      </c>
      <c r="C38" s="59"/>
      <c r="D38" s="51" t="s">
        <v>20</v>
      </c>
      <c r="E38" s="51"/>
      <c r="F38" s="51"/>
      <c r="G38" s="50"/>
      <c r="H38" s="52"/>
      <c r="I38" s="52"/>
      <c r="J38" s="141"/>
      <c r="K38" s="141"/>
      <c r="L38" s="80"/>
      <c r="M38" s="89"/>
      <c r="N38" s="89"/>
      <c r="O38" s="52"/>
      <c r="P38" s="8"/>
      <c r="Q38" s="8">
        <f t="shared" si="2"/>
        <v>0</v>
      </c>
      <c r="R38" s="8">
        <f t="shared" si="3"/>
        <v>0</v>
      </c>
      <c r="S38" s="29">
        <f t="shared" si="1"/>
        <v>0</v>
      </c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163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6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</row>
    <row r="39" spans="1:117" ht="18.75" customHeight="1">
      <c r="A39" s="59">
        <v>37</v>
      </c>
      <c r="B39" s="59" t="s">
        <v>19</v>
      </c>
      <c r="C39" s="59"/>
      <c r="D39" s="51" t="s">
        <v>51</v>
      </c>
      <c r="E39" s="51"/>
      <c r="F39" s="51"/>
      <c r="G39" s="50"/>
      <c r="H39" s="80"/>
      <c r="I39" s="52"/>
      <c r="J39" s="141"/>
      <c r="K39" s="141"/>
      <c r="L39" s="52"/>
      <c r="M39" s="89"/>
      <c r="N39" s="89"/>
      <c r="O39" s="52"/>
      <c r="P39" s="8"/>
      <c r="Q39" s="8">
        <f t="shared" si="2"/>
        <v>0</v>
      </c>
      <c r="R39" s="8">
        <f t="shared" si="3"/>
        <v>0</v>
      </c>
      <c r="S39" s="29">
        <f t="shared" si="1"/>
        <v>0</v>
      </c>
      <c r="T39" s="29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163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9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</row>
    <row r="40" spans="1:117" ht="18.75" customHeight="1">
      <c r="A40" s="59">
        <v>38</v>
      </c>
      <c r="B40" s="59" t="s">
        <v>19</v>
      </c>
      <c r="C40" s="59"/>
      <c r="D40" s="51" t="s">
        <v>52</v>
      </c>
      <c r="E40" s="51"/>
      <c r="F40" s="51"/>
      <c r="G40" s="50"/>
      <c r="H40" s="80"/>
      <c r="I40" s="52"/>
      <c r="J40" s="141"/>
      <c r="K40" s="141"/>
      <c r="L40" s="52"/>
      <c r="M40" s="89"/>
      <c r="N40" s="89"/>
      <c r="O40" s="52"/>
      <c r="P40" s="8"/>
      <c r="Q40" s="8">
        <f t="shared" si="2"/>
        <v>0</v>
      </c>
      <c r="R40" s="8">
        <f t="shared" si="3"/>
        <v>0</v>
      </c>
      <c r="S40" s="29">
        <f t="shared" si="1"/>
        <v>0</v>
      </c>
      <c r="T40" s="29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163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9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</row>
    <row r="41" spans="1:117" ht="18.75" customHeight="1">
      <c r="A41" s="59">
        <v>39</v>
      </c>
      <c r="B41" s="59" t="s">
        <v>19</v>
      </c>
      <c r="C41" s="59"/>
      <c r="D41" s="51" t="s">
        <v>173</v>
      </c>
      <c r="E41" s="51"/>
      <c r="F41" s="51"/>
      <c r="G41" s="50"/>
      <c r="H41" s="52"/>
      <c r="I41" s="52"/>
      <c r="J41" s="139"/>
      <c r="K41" s="139"/>
      <c r="L41" s="52"/>
      <c r="M41" s="89"/>
      <c r="N41" s="89"/>
      <c r="O41" s="52"/>
      <c r="P41" s="8"/>
      <c r="Q41" s="8">
        <f t="shared" si="2"/>
        <v>0</v>
      </c>
      <c r="R41" s="8">
        <f t="shared" si="3"/>
        <v>0</v>
      </c>
      <c r="S41" s="29">
        <f t="shared" si="1"/>
        <v>0</v>
      </c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163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40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</row>
    <row r="42" spans="1:117" ht="18.75" customHeight="1">
      <c r="A42" s="59">
        <v>40</v>
      </c>
      <c r="B42" s="59" t="s">
        <v>19</v>
      </c>
      <c r="C42" s="59"/>
      <c r="D42" s="54" t="s">
        <v>30</v>
      </c>
      <c r="E42" s="54"/>
      <c r="F42" s="54"/>
      <c r="G42" s="50"/>
      <c r="H42" s="79"/>
      <c r="I42" s="59"/>
      <c r="J42" s="142"/>
      <c r="K42" s="142"/>
      <c r="L42" s="52"/>
      <c r="M42" s="89"/>
      <c r="N42" s="89"/>
      <c r="O42" s="52"/>
      <c r="P42" s="8"/>
      <c r="Q42" s="8">
        <f t="shared" si="2"/>
        <v>0</v>
      </c>
      <c r="R42" s="8">
        <f t="shared" si="3"/>
        <v>0</v>
      </c>
      <c r="S42" s="29">
        <f t="shared" si="1"/>
        <v>0</v>
      </c>
      <c r="T42" s="8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163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9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</row>
    <row r="43" spans="1:117" ht="18.75" customHeight="1">
      <c r="A43" s="59">
        <v>41</v>
      </c>
      <c r="B43" s="59" t="s">
        <v>19</v>
      </c>
      <c r="C43" s="59"/>
      <c r="D43" s="54" t="s">
        <v>62</v>
      </c>
      <c r="E43" s="54"/>
      <c r="F43" s="54"/>
      <c r="G43" s="50"/>
      <c r="H43" s="79"/>
      <c r="I43" s="59"/>
      <c r="J43" s="142"/>
      <c r="K43" s="142"/>
      <c r="L43" s="52"/>
      <c r="M43" s="89"/>
      <c r="N43" s="89"/>
      <c r="O43" s="52"/>
      <c r="P43" s="8"/>
      <c r="Q43" s="8">
        <f t="shared" si="2"/>
        <v>0</v>
      </c>
      <c r="R43" s="8">
        <f t="shared" si="3"/>
        <v>0</v>
      </c>
      <c r="S43" s="29">
        <f t="shared" si="1"/>
        <v>0</v>
      </c>
      <c r="T43" s="8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163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9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</row>
    <row r="44" spans="1:117" ht="18.75" customHeight="1">
      <c r="A44" s="59">
        <v>42</v>
      </c>
      <c r="B44" s="59" t="s">
        <v>19</v>
      </c>
      <c r="C44" s="59"/>
      <c r="D44" s="54" t="s">
        <v>55</v>
      </c>
      <c r="E44" s="54"/>
      <c r="F44" s="54"/>
      <c r="G44" s="50"/>
      <c r="H44" s="79"/>
      <c r="I44" s="59"/>
      <c r="J44" s="142"/>
      <c r="K44" s="142"/>
      <c r="L44" s="52"/>
      <c r="M44" s="89"/>
      <c r="N44" s="89"/>
      <c r="O44" s="52"/>
      <c r="P44" s="8"/>
      <c r="Q44" s="8">
        <f t="shared" si="2"/>
        <v>0</v>
      </c>
      <c r="R44" s="8">
        <f t="shared" si="3"/>
        <v>0</v>
      </c>
      <c r="S44" s="29">
        <f t="shared" si="1"/>
        <v>0</v>
      </c>
      <c r="T44" s="8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163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9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</row>
    <row r="45" spans="1:117" ht="18.75" customHeight="1">
      <c r="A45" s="59">
        <v>43</v>
      </c>
      <c r="B45" s="59" t="s">
        <v>19</v>
      </c>
      <c r="C45" s="59"/>
      <c r="D45" s="54" t="s">
        <v>442</v>
      </c>
      <c r="E45" s="54"/>
      <c r="F45" s="54"/>
      <c r="G45" s="50"/>
      <c r="H45" s="79"/>
      <c r="I45" s="59"/>
      <c r="J45" s="142"/>
      <c r="K45" s="142"/>
      <c r="L45" s="52"/>
      <c r="M45" s="89"/>
      <c r="N45" s="89"/>
      <c r="O45" s="52"/>
      <c r="P45" s="8"/>
      <c r="Q45" s="8">
        <f t="shared" si="2"/>
        <v>0</v>
      </c>
      <c r="R45" s="8">
        <f t="shared" si="3"/>
        <v>0</v>
      </c>
      <c r="S45" s="29">
        <f t="shared" si="1"/>
        <v>0</v>
      </c>
      <c r="T45" s="8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163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9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</row>
    <row r="46" spans="1:117" ht="18.75" customHeight="1">
      <c r="A46" s="59">
        <v>44</v>
      </c>
      <c r="B46" s="59" t="s">
        <v>19</v>
      </c>
      <c r="C46" s="59"/>
      <c r="D46" s="54" t="s">
        <v>14</v>
      </c>
      <c r="E46" s="54"/>
      <c r="F46" s="54"/>
      <c r="G46" s="50"/>
      <c r="H46" s="79"/>
      <c r="I46" s="59"/>
      <c r="J46" s="142"/>
      <c r="K46" s="142"/>
      <c r="L46" s="52"/>
      <c r="M46" s="89"/>
      <c r="N46" s="89"/>
      <c r="O46" s="52"/>
      <c r="P46" s="8"/>
      <c r="Q46" s="8">
        <f t="shared" si="2"/>
        <v>0</v>
      </c>
      <c r="R46" s="8">
        <f t="shared" si="3"/>
        <v>0</v>
      </c>
      <c r="S46" s="29">
        <f t="shared" si="1"/>
        <v>0</v>
      </c>
      <c r="T46" s="8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163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9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</row>
    <row r="47" spans="1:117" ht="18.75" customHeight="1">
      <c r="A47" s="59">
        <v>45</v>
      </c>
      <c r="B47" s="59" t="s">
        <v>19</v>
      </c>
      <c r="C47" s="59"/>
      <c r="D47" s="51" t="s">
        <v>61</v>
      </c>
      <c r="E47" s="51"/>
      <c r="F47" s="51"/>
      <c r="G47" s="50"/>
      <c r="H47" s="79"/>
      <c r="I47" s="59"/>
      <c r="J47" s="142"/>
      <c r="K47" s="142"/>
      <c r="L47" s="52"/>
      <c r="M47" s="89"/>
      <c r="N47" s="89"/>
      <c r="O47" s="52"/>
      <c r="P47" s="8"/>
      <c r="Q47" s="8">
        <f t="shared" si="2"/>
        <v>0</v>
      </c>
      <c r="R47" s="8">
        <f t="shared" si="3"/>
        <v>0</v>
      </c>
      <c r="S47" s="29">
        <f t="shared" si="1"/>
        <v>0</v>
      </c>
      <c r="T47" s="8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163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9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</row>
    <row r="48" spans="1:117" ht="18.75" customHeight="1">
      <c r="A48" s="59">
        <v>46</v>
      </c>
      <c r="B48" s="59" t="s">
        <v>19</v>
      </c>
      <c r="C48" s="59"/>
      <c r="D48" s="54" t="s">
        <v>63</v>
      </c>
      <c r="E48" s="54"/>
      <c r="F48" s="54"/>
      <c r="G48" s="50"/>
      <c r="H48" s="79"/>
      <c r="I48" s="59"/>
      <c r="J48" s="142"/>
      <c r="K48" s="142"/>
      <c r="L48" s="52"/>
      <c r="M48" s="89"/>
      <c r="N48" s="89"/>
      <c r="O48" s="52"/>
      <c r="P48" s="8"/>
      <c r="Q48" s="8">
        <f t="shared" si="2"/>
        <v>0</v>
      </c>
      <c r="R48" s="8">
        <f t="shared" si="3"/>
        <v>0</v>
      </c>
      <c r="S48" s="29">
        <f t="shared" si="1"/>
        <v>0</v>
      </c>
      <c r="T48" s="8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163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9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</row>
    <row r="49" spans="1:117" ht="18.75" customHeight="1">
      <c r="A49" s="59">
        <v>47</v>
      </c>
      <c r="B49" s="59" t="s">
        <v>19</v>
      </c>
      <c r="C49" s="59"/>
      <c r="D49" s="54" t="s">
        <v>347</v>
      </c>
      <c r="E49" s="54"/>
      <c r="F49" s="54"/>
      <c r="G49" s="50"/>
      <c r="H49" s="79"/>
      <c r="I49" s="59"/>
      <c r="J49" s="142"/>
      <c r="K49" s="142"/>
      <c r="L49" s="52"/>
      <c r="M49" s="89"/>
      <c r="N49" s="89"/>
      <c r="O49" s="52"/>
      <c r="P49" s="8"/>
      <c r="Q49" s="8">
        <f t="shared" si="2"/>
        <v>0</v>
      </c>
      <c r="R49" s="8">
        <f t="shared" si="3"/>
        <v>0</v>
      </c>
      <c r="S49" s="29">
        <f t="shared" si="1"/>
        <v>0</v>
      </c>
      <c r="T49" s="8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163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9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</row>
    <row r="50" spans="1:117" ht="18.75" customHeight="1">
      <c r="A50" s="59">
        <v>48</v>
      </c>
      <c r="B50" s="59" t="s">
        <v>19</v>
      </c>
      <c r="C50" s="59"/>
      <c r="D50" s="54" t="s">
        <v>588</v>
      </c>
      <c r="E50" s="54"/>
      <c r="F50" s="54"/>
      <c r="G50" s="50"/>
      <c r="H50" s="79"/>
      <c r="I50" s="59"/>
      <c r="J50" s="142"/>
      <c r="K50" s="142"/>
      <c r="L50" s="52"/>
      <c r="M50" s="89"/>
      <c r="N50" s="89"/>
      <c r="O50" s="52"/>
      <c r="P50" s="8"/>
      <c r="Q50" s="8">
        <f t="shared" si="2"/>
        <v>0</v>
      </c>
      <c r="R50" s="8">
        <f t="shared" si="3"/>
        <v>0</v>
      </c>
      <c r="S50" s="29">
        <f t="shared" si="1"/>
        <v>0</v>
      </c>
      <c r="T50" s="8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163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9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</row>
    <row r="51" spans="1:117" ht="18.75" customHeight="1">
      <c r="A51" s="59">
        <v>49</v>
      </c>
      <c r="B51" s="59" t="s">
        <v>19</v>
      </c>
      <c r="C51" s="59"/>
      <c r="D51" s="54" t="s">
        <v>132</v>
      </c>
      <c r="E51" s="54"/>
      <c r="F51" s="54"/>
      <c r="G51" s="50"/>
      <c r="H51" s="79"/>
      <c r="I51" s="59"/>
      <c r="J51" s="142"/>
      <c r="K51" s="142"/>
      <c r="L51" s="52"/>
      <c r="M51" s="89"/>
      <c r="N51" s="89"/>
      <c r="O51" s="52"/>
      <c r="P51" s="8"/>
      <c r="Q51" s="8">
        <f t="shared" si="2"/>
        <v>0</v>
      </c>
      <c r="R51" s="8">
        <f t="shared" si="3"/>
        <v>0</v>
      </c>
      <c r="S51" s="29">
        <f t="shared" si="1"/>
        <v>0</v>
      </c>
      <c r="T51" s="8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163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9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</row>
    <row r="52" spans="1:117" ht="18.75" customHeight="1">
      <c r="A52" s="59">
        <v>50</v>
      </c>
      <c r="B52" s="59" t="s">
        <v>19</v>
      </c>
      <c r="C52" s="59"/>
      <c r="D52" s="51" t="s">
        <v>70</v>
      </c>
      <c r="E52" s="51"/>
      <c r="F52" s="51"/>
      <c r="G52" s="50"/>
      <c r="H52" s="79"/>
      <c r="I52" s="59"/>
      <c r="J52" s="142"/>
      <c r="K52" s="142"/>
      <c r="L52" s="52"/>
      <c r="M52" s="89"/>
      <c r="N52" s="89"/>
      <c r="O52" s="52"/>
      <c r="P52" s="8"/>
      <c r="Q52" s="8">
        <f t="shared" si="2"/>
        <v>0</v>
      </c>
      <c r="R52" s="8">
        <f t="shared" si="3"/>
        <v>0</v>
      </c>
      <c r="S52" s="29">
        <f t="shared" si="1"/>
        <v>0</v>
      </c>
      <c r="T52" s="8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163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9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</row>
    <row r="53" spans="1:117" ht="18.75" customHeight="1">
      <c r="A53" s="59">
        <v>51</v>
      </c>
      <c r="B53" s="59" t="s">
        <v>19</v>
      </c>
      <c r="C53" s="59"/>
      <c r="D53" s="54" t="s">
        <v>72</v>
      </c>
      <c r="E53" s="54"/>
      <c r="F53" s="54"/>
      <c r="G53" s="50"/>
      <c r="H53" s="79"/>
      <c r="I53" s="59"/>
      <c r="J53" s="142"/>
      <c r="K53" s="142"/>
      <c r="L53" s="52"/>
      <c r="M53" s="89"/>
      <c r="N53" s="89"/>
      <c r="O53" s="52"/>
      <c r="P53" s="8"/>
      <c r="Q53" s="8">
        <f t="shared" si="2"/>
        <v>0</v>
      </c>
      <c r="R53" s="8">
        <f t="shared" si="3"/>
        <v>0</v>
      </c>
      <c r="S53" s="29">
        <f t="shared" si="1"/>
        <v>0</v>
      </c>
      <c r="T53" s="8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163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9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</row>
    <row r="54" spans="1:117" ht="18.75" customHeight="1">
      <c r="A54" s="59">
        <v>52</v>
      </c>
      <c r="B54" s="59" t="s">
        <v>19</v>
      </c>
      <c r="C54" s="59"/>
      <c r="D54" s="54" t="s">
        <v>73</v>
      </c>
      <c r="E54" s="54"/>
      <c r="F54" s="54"/>
      <c r="G54" s="50"/>
      <c r="H54" s="79"/>
      <c r="I54" s="59"/>
      <c r="J54" s="142"/>
      <c r="K54" s="142"/>
      <c r="L54" s="52"/>
      <c r="M54" s="89"/>
      <c r="N54" s="89"/>
      <c r="O54" s="52"/>
      <c r="P54" s="8"/>
      <c r="Q54" s="8">
        <f t="shared" si="2"/>
        <v>0</v>
      </c>
      <c r="R54" s="8">
        <f t="shared" si="3"/>
        <v>0</v>
      </c>
      <c r="S54" s="29">
        <f t="shared" si="1"/>
        <v>0</v>
      </c>
      <c r="T54" s="8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163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9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</row>
    <row r="55" spans="1:117" ht="18.75" customHeight="1">
      <c r="A55" s="59">
        <v>53</v>
      </c>
      <c r="B55" s="59" t="s">
        <v>19</v>
      </c>
      <c r="C55" s="59"/>
      <c r="D55" s="54" t="s">
        <v>6</v>
      </c>
      <c r="E55" s="54"/>
      <c r="F55" s="54"/>
      <c r="G55" s="50"/>
      <c r="H55" s="79"/>
      <c r="I55" s="59"/>
      <c r="J55" s="142"/>
      <c r="K55" s="142"/>
      <c r="L55" s="52"/>
      <c r="M55" s="89"/>
      <c r="N55" s="89"/>
      <c r="O55" s="52"/>
      <c r="P55" s="8"/>
      <c r="Q55" s="8">
        <f t="shared" si="2"/>
        <v>0</v>
      </c>
      <c r="R55" s="8">
        <f t="shared" si="3"/>
        <v>0</v>
      </c>
      <c r="S55" s="29">
        <f t="shared" si="1"/>
        <v>0</v>
      </c>
      <c r="T55" s="8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163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9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</row>
    <row r="56" spans="1:117" ht="18.75" customHeight="1">
      <c r="A56" s="59">
        <v>54</v>
      </c>
      <c r="B56" s="59" t="s">
        <v>19</v>
      </c>
      <c r="C56" s="59"/>
      <c r="D56" s="51" t="s">
        <v>124</v>
      </c>
      <c r="E56" s="51"/>
      <c r="F56" s="51"/>
      <c r="G56" s="50"/>
      <c r="H56" s="80"/>
      <c r="I56" s="52"/>
      <c r="J56" s="141"/>
      <c r="K56" s="141"/>
      <c r="L56" s="52"/>
      <c r="M56" s="89"/>
      <c r="N56" s="89"/>
      <c r="O56" s="52"/>
      <c r="P56" s="8"/>
      <c r="Q56" s="8">
        <f t="shared" si="2"/>
        <v>0</v>
      </c>
      <c r="R56" s="8">
        <f t="shared" si="3"/>
        <v>0</v>
      </c>
      <c r="S56" s="29">
        <f t="shared" si="1"/>
        <v>0</v>
      </c>
      <c r="T56" s="29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163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9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</row>
    <row r="57" spans="1:117" ht="18.75" customHeight="1">
      <c r="A57" s="59">
        <v>55</v>
      </c>
      <c r="B57" s="59" t="s">
        <v>19</v>
      </c>
      <c r="C57" s="59"/>
      <c r="D57" s="51" t="s">
        <v>0</v>
      </c>
      <c r="E57" s="51"/>
      <c r="F57" s="51"/>
      <c r="G57" s="50"/>
      <c r="H57" s="80"/>
      <c r="I57" s="52"/>
      <c r="J57" s="141"/>
      <c r="K57" s="141"/>
      <c r="L57" s="52"/>
      <c r="M57" s="89"/>
      <c r="N57" s="89"/>
      <c r="O57" s="52"/>
      <c r="P57" s="8"/>
      <c r="Q57" s="8">
        <f t="shared" si="2"/>
        <v>0</v>
      </c>
      <c r="R57" s="8">
        <f t="shared" si="3"/>
        <v>0</v>
      </c>
      <c r="S57" s="29">
        <f t="shared" si="1"/>
        <v>0</v>
      </c>
      <c r="T57" s="29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163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9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</row>
    <row r="58" spans="1:117" ht="18.75" customHeight="1">
      <c r="A58" s="59">
        <v>56</v>
      </c>
      <c r="B58" s="59" t="s">
        <v>19</v>
      </c>
      <c r="C58" s="59"/>
      <c r="D58" s="51" t="s">
        <v>600</v>
      </c>
      <c r="E58" s="51"/>
      <c r="F58" s="51"/>
      <c r="G58" s="50"/>
      <c r="H58" s="80"/>
      <c r="I58" s="52"/>
      <c r="J58" s="141"/>
      <c r="K58" s="141"/>
      <c r="L58" s="52"/>
      <c r="M58" s="89"/>
      <c r="N58" s="89"/>
      <c r="O58" s="52"/>
      <c r="P58" s="8"/>
      <c r="Q58" s="8">
        <f t="shared" si="2"/>
        <v>0</v>
      </c>
      <c r="R58" s="8">
        <f t="shared" si="3"/>
        <v>0</v>
      </c>
      <c r="S58" s="29">
        <f t="shared" si="1"/>
        <v>0</v>
      </c>
      <c r="T58" s="29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163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9"/>
      <c r="CP58" s="31"/>
      <c r="CQ58" s="31"/>
      <c r="CR58" s="31"/>
      <c r="CS58" s="31"/>
      <c r="CT58" s="31"/>
      <c r="CU58" s="31"/>
      <c r="CV58" s="32"/>
      <c r="CW58" s="32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</row>
    <row r="59" spans="1:117" ht="18.75" customHeight="1">
      <c r="A59" s="59">
        <v>57</v>
      </c>
      <c r="B59" s="59" t="s">
        <v>19</v>
      </c>
      <c r="C59" s="59"/>
      <c r="D59" s="51" t="s">
        <v>90</v>
      </c>
      <c r="E59" s="51"/>
      <c r="F59" s="51"/>
      <c r="G59" s="50"/>
      <c r="H59" s="80"/>
      <c r="I59" s="52"/>
      <c r="J59" s="141"/>
      <c r="K59" s="141"/>
      <c r="L59" s="52"/>
      <c r="M59" s="89"/>
      <c r="N59" s="89"/>
      <c r="O59" s="52"/>
      <c r="P59" s="8"/>
      <c r="Q59" s="8">
        <f t="shared" si="2"/>
        <v>0</v>
      </c>
      <c r="R59" s="8">
        <f t="shared" si="3"/>
        <v>0</v>
      </c>
      <c r="S59" s="29">
        <f t="shared" si="1"/>
        <v>0</v>
      </c>
      <c r="T59" s="29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163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9"/>
      <c r="CP59" s="31"/>
      <c r="CQ59" s="31"/>
      <c r="CR59" s="31"/>
      <c r="CS59" s="31"/>
      <c r="CT59" s="31"/>
      <c r="CU59" s="31"/>
      <c r="CV59" s="28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</row>
    <row r="60" spans="1:117" ht="18.75" customHeight="1">
      <c r="A60" s="59">
        <v>58</v>
      </c>
      <c r="B60" s="59" t="s">
        <v>19</v>
      </c>
      <c r="C60" s="59"/>
      <c r="D60" s="51" t="s">
        <v>104</v>
      </c>
      <c r="E60" s="51"/>
      <c r="F60" s="51"/>
      <c r="G60" s="50"/>
      <c r="H60" s="80"/>
      <c r="I60" s="52"/>
      <c r="J60" s="141"/>
      <c r="K60" s="141"/>
      <c r="L60" s="52"/>
      <c r="M60" s="89"/>
      <c r="N60" s="89"/>
      <c r="O60" s="52"/>
      <c r="P60" s="8"/>
      <c r="Q60" s="8">
        <f t="shared" si="2"/>
        <v>0</v>
      </c>
      <c r="R60" s="8">
        <f t="shared" si="3"/>
        <v>0</v>
      </c>
      <c r="S60" s="29">
        <f t="shared" si="1"/>
        <v>0</v>
      </c>
      <c r="T60" s="29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163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9"/>
      <c r="CP60" s="31"/>
      <c r="CQ60" s="31"/>
      <c r="CR60" s="31"/>
      <c r="CS60" s="31"/>
      <c r="CT60" s="31"/>
      <c r="CU60" s="31"/>
      <c r="CV60" s="28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</row>
    <row r="61" spans="1:117" ht="18.75" customHeight="1">
      <c r="A61" s="59">
        <v>59</v>
      </c>
      <c r="B61" s="59" t="s">
        <v>19</v>
      </c>
      <c r="C61" s="59"/>
      <c r="D61" s="51" t="s">
        <v>142</v>
      </c>
      <c r="E61" s="51"/>
      <c r="F61" s="51"/>
      <c r="G61" s="50"/>
      <c r="H61" s="80"/>
      <c r="I61" s="52"/>
      <c r="J61" s="141"/>
      <c r="K61" s="141"/>
      <c r="L61" s="52"/>
      <c r="M61" s="89"/>
      <c r="N61" s="89"/>
      <c r="O61" s="52"/>
      <c r="P61" s="8"/>
      <c r="Q61" s="8">
        <f t="shared" si="2"/>
        <v>0</v>
      </c>
      <c r="R61" s="8">
        <f t="shared" si="3"/>
        <v>0</v>
      </c>
      <c r="S61" s="29">
        <f t="shared" si="1"/>
        <v>0</v>
      </c>
      <c r="T61" s="29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163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9"/>
      <c r="CP61" s="31"/>
      <c r="CQ61" s="31"/>
      <c r="CR61" s="31"/>
      <c r="CS61" s="31"/>
      <c r="CT61" s="31"/>
      <c r="CU61" s="31"/>
      <c r="CV61" s="32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</row>
    <row r="62" spans="1:117" ht="18.75" customHeight="1">
      <c r="A62" s="59">
        <v>60</v>
      </c>
      <c r="B62" s="59" t="s">
        <v>19</v>
      </c>
      <c r="C62" s="59"/>
      <c r="D62" s="51" t="s">
        <v>143</v>
      </c>
      <c r="E62" s="51"/>
      <c r="F62" s="51"/>
      <c r="G62" s="50"/>
      <c r="H62" s="80"/>
      <c r="I62" s="52"/>
      <c r="J62" s="141"/>
      <c r="K62" s="141"/>
      <c r="L62" s="52"/>
      <c r="M62" s="89"/>
      <c r="N62" s="89"/>
      <c r="O62" s="52"/>
      <c r="P62" s="8"/>
      <c r="Q62" s="8">
        <f t="shared" si="2"/>
        <v>0</v>
      </c>
      <c r="R62" s="8">
        <f t="shared" si="3"/>
        <v>0</v>
      </c>
      <c r="S62" s="29">
        <f t="shared" si="1"/>
        <v>0</v>
      </c>
      <c r="T62" s="29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163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9"/>
      <c r="CP62" s="31"/>
      <c r="CQ62" s="31"/>
      <c r="CR62" s="31"/>
      <c r="CS62" s="31"/>
      <c r="CT62" s="31"/>
      <c r="CU62" s="31"/>
      <c r="CV62" s="32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</row>
    <row r="63" spans="1:117" ht="18.75" customHeight="1">
      <c r="A63" s="59">
        <v>61</v>
      </c>
      <c r="B63" s="59" t="s">
        <v>19</v>
      </c>
      <c r="C63" s="59"/>
      <c r="D63" s="51" t="s">
        <v>123</v>
      </c>
      <c r="E63" s="51"/>
      <c r="F63" s="51"/>
      <c r="G63" s="50"/>
      <c r="H63" s="80"/>
      <c r="I63" s="52"/>
      <c r="J63" s="141"/>
      <c r="K63" s="141"/>
      <c r="L63" s="52"/>
      <c r="M63" s="89"/>
      <c r="N63" s="89"/>
      <c r="O63" s="52"/>
      <c r="P63" s="8"/>
      <c r="Q63" s="8">
        <f t="shared" si="2"/>
        <v>0</v>
      </c>
      <c r="R63" s="8">
        <f t="shared" si="3"/>
        <v>0</v>
      </c>
      <c r="S63" s="29">
        <f t="shared" si="1"/>
        <v>0</v>
      </c>
      <c r="T63" s="29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163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9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</row>
    <row r="64" spans="1:117" ht="18.75" customHeight="1">
      <c r="A64" s="59">
        <v>62</v>
      </c>
      <c r="B64" s="59" t="s">
        <v>19</v>
      </c>
      <c r="C64" s="59"/>
      <c r="D64" s="51" t="s">
        <v>125</v>
      </c>
      <c r="E64" s="51"/>
      <c r="F64" s="51"/>
      <c r="G64" s="50"/>
      <c r="H64" s="80"/>
      <c r="I64" s="52"/>
      <c r="J64" s="141"/>
      <c r="K64" s="141"/>
      <c r="L64" s="52"/>
      <c r="M64" s="89"/>
      <c r="N64" s="89"/>
      <c r="O64" s="52"/>
      <c r="P64" s="8"/>
      <c r="Q64" s="8">
        <f t="shared" si="2"/>
        <v>0</v>
      </c>
      <c r="R64" s="8">
        <f t="shared" si="3"/>
        <v>0</v>
      </c>
      <c r="S64" s="29">
        <f t="shared" si="1"/>
        <v>0</v>
      </c>
      <c r="T64" s="29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163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9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</row>
    <row r="65" spans="1:117" ht="18.75" customHeight="1">
      <c r="A65" s="59">
        <v>63</v>
      </c>
      <c r="B65" s="59" t="s">
        <v>19</v>
      </c>
      <c r="C65" s="59"/>
      <c r="D65" s="51" t="s">
        <v>42</v>
      </c>
      <c r="E65" s="51"/>
      <c r="F65" s="51"/>
      <c r="G65" s="50"/>
      <c r="H65" s="80"/>
      <c r="I65" s="52"/>
      <c r="J65" s="141"/>
      <c r="K65" s="141"/>
      <c r="L65" s="52"/>
      <c r="M65" s="89"/>
      <c r="N65" s="89"/>
      <c r="O65" s="52"/>
      <c r="P65" s="8"/>
      <c r="Q65" s="8">
        <f t="shared" si="2"/>
        <v>0</v>
      </c>
      <c r="R65" s="8">
        <f t="shared" si="3"/>
        <v>0</v>
      </c>
      <c r="S65" s="29">
        <f t="shared" si="1"/>
        <v>0</v>
      </c>
      <c r="T65" s="29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163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9"/>
      <c r="CP65" s="31"/>
      <c r="CQ65" s="31"/>
      <c r="CR65" s="31"/>
      <c r="CS65" s="31"/>
      <c r="CT65" s="31"/>
      <c r="CU65" s="31"/>
      <c r="CV65" s="32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</row>
    <row r="66" spans="1:117" ht="18.75" customHeight="1">
      <c r="A66" s="59">
        <v>64</v>
      </c>
      <c r="B66" s="59" t="s">
        <v>19</v>
      </c>
      <c r="C66" s="59"/>
      <c r="D66" s="51" t="s">
        <v>98</v>
      </c>
      <c r="E66" s="51"/>
      <c r="F66" s="51"/>
      <c r="G66" s="50"/>
      <c r="H66" s="80"/>
      <c r="I66" s="52"/>
      <c r="J66" s="141"/>
      <c r="K66" s="141"/>
      <c r="L66" s="52"/>
      <c r="M66" s="89"/>
      <c r="N66" s="89"/>
      <c r="O66" s="52"/>
      <c r="P66" s="8"/>
      <c r="Q66" s="8">
        <f t="shared" si="2"/>
        <v>0</v>
      </c>
      <c r="R66" s="8">
        <f t="shared" si="3"/>
        <v>0</v>
      </c>
      <c r="S66" s="29">
        <f t="shared" si="1"/>
        <v>0</v>
      </c>
      <c r="T66" s="29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163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9"/>
      <c r="CP66" s="31"/>
      <c r="CQ66" s="31"/>
      <c r="CR66" s="31"/>
      <c r="CS66" s="31"/>
      <c r="CT66" s="31"/>
      <c r="CU66" s="31"/>
      <c r="CV66" s="31"/>
      <c r="CW66" s="32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</row>
    <row r="67" spans="1:117" ht="18.75" customHeight="1">
      <c r="A67" s="59">
        <v>65</v>
      </c>
      <c r="B67" s="59" t="s">
        <v>19</v>
      </c>
      <c r="C67" s="59"/>
      <c r="D67" s="51" t="s">
        <v>18</v>
      </c>
      <c r="E67" s="51"/>
      <c r="F67" s="51"/>
      <c r="G67" s="50"/>
      <c r="H67" s="80"/>
      <c r="I67" s="52"/>
      <c r="J67" s="141"/>
      <c r="K67" s="141"/>
      <c r="L67" s="52"/>
      <c r="M67" s="89"/>
      <c r="N67" s="89"/>
      <c r="O67" s="52"/>
      <c r="P67" s="8"/>
      <c r="Q67" s="8">
        <f t="shared" si="2"/>
        <v>0</v>
      </c>
      <c r="R67" s="8">
        <f t="shared" si="3"/>
        <v>0</v>
      </c>
      <c r="S67" s="29">
        <f t="shared" ref="S67:S130" si="4">Q67-R67</f>
        <v>0</v>
      </c>
      <c r="T67" s="29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163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9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</row>
    <row r="68" spans="1:117" ht="18.75" customHeight="1">
      <c r="A68" s="59">
        <v>66</v>
      </c>
      <c r="B68" s="59" t="s">
        <v>19</v>
      </c>
      <c r="C68" s="59"/>
      <c r="D68" s="51" t="s">
        <v>183</v>
      </c>
      <c r="E68" s="51"/>
      <c r="F68" s="51"/>
      <c r="G68" s="50"/>
      <c r="H68" s="80"/>
      <c r="I68" s="52"/>
      <c r="J68" s="141"/>
      <c r="K68" s="141"/>
      <c r="L68" s="52"/>
      <c r="M68" s="89"/>
      <c r="N68" s="89"/>
      <c r="O68" s="52"/>
      <c r="P68" s="8"/>
      <c r="Q68" s="8">
        <f t="shared" ref="Q68:Q131" si="5">SUM(G68,J68,M68,P68)</f>
        <v>0</v>
      </c>
      <c r="R68" s="8">
        <f t="shared" si="3"/>
        <v>0</v>
      </c>
      <c r="S68" s="29">
        <f t="shared" si="4"/>
        <v>0</v>
      </c>
      <c r="T68" s="29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163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9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</row>
    <row r="69" spans="1:117" ht="18.75" customHeight="1">
      <c r="A69" s="59">
        <v>67</v>
      </c>
      <c r="B69" s="59" t="s">
        <v>19</v>
      </c>
      <c r="C69" s="59"/>
      <c r="D69" s="51" t="s">
        <v>178</v>
      </c>
      <c r="E69" s="51"/>
      <c r="F69" s="51"/>
      <c r="G69" s="50"/>
      <c r="H69" s="80"/>
      <c r="I69" s="52"/>
      <c r="J69" s="141"/>
      <c r="K69" s="141"/>
      <c r="L69" s="52"/>
      <c r="M69" s="89"/>
      <c r="N69" s="89"/>
      <c r="O69" s="52"/>
      <c r="P69" s="8"/>
      <c r="Q69" s="8">
        <f t="shared" si="5"/>
        <v>0</v>
      </c>
      <c r="R69" s="8">
        <f t="shared" si="3"/>
        <v>0</v>
      </c>
      <c r="S69" s="29">
        <f t="shared" si="4"/>
        <v>0</v>
      </c>
      <c r="T69" s="29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163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9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</row>
    <row r="70" spans="1:117" ht="18.75" customHeight="1">
      <c r="A70" s="59">
        <v>68</v>
      </c>
      <c r="B70" s="59" t="s">
        <v>19</v>
      </c>
      <c r="C70" s="59"/>
      <c r="D70" s="51" t="s">
        <v>334</v>
      </c>
      <c r="E70" s="51"/>
      <c r="F70" s="51"/>
      <c r="G70" s="50"/>
      <c r="H70" s="80"/>
      <c r="I70" s="52"/>
      <c r="J70" s="141"/>
      <c r="K70" s="141"/>
      <c r="L70" s="52"/>
      <c r="M70" s="89"/>
      <c r="N70" s="89"/>
      <c r="O70" s="52"/>
      <c r="P70" s="8"/>
      <c r="Q70" s="8">
        <f t="shared" si="5"/>
        <v>0</v>
      </c>
      <c r="R70" s="8">
        <f t="shared" si="3"/>
        <v>0</v>
      </c>
      <c r="S70" s="29">
        <f t="shared" si="4"/>
        <v>0</v>
      </c>
      <c r="T70" s="29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163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9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</row>
    <row r="71" spans="1:117" ht="18.75" customHeight="1">
      <c r="A71" s="59">
        <v>69</v>
      </c>
      <c r="B71" s="59" t="s">
        <v>19</v>
      </c>
      <c r="C71" s="59"/>
      <c r="D71" s="51" t="s">
        <v>202</v>
      </c>
      <c r="E71" s="51"/>
      <c r="F71" s="51"/>
      <c r="G71" s="50"/>
      <c r="H71" s="80"/>
      <c r="I71" s="52"/>
      <c r="J71" s="141"/>
      <c r="K71" s="141"/>
      <c r="L71" s="52"/>
      <c r="M71" s="89"/>
      <c r="N71" s="89"/>
      <c r="O71" s="52"/>
      <c r="P71" s="8"/>
      <c r="Q71" s="8">
        <f t="shared" si="5"/>
        <v>0</v>
      </c>
      <c r="R71" s="8">
        <f t="shared" si="3"/>
        <v>0</v>
      </c>
      <c r="S71" s="29">
        <f t="shared" si="4"/>
        <v>0</v>
      </c>
      <c r="T71" s="29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163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9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</row>
    <row r="72" spans="1:117" ht="18.75" customHeight="1">
      <c r="A72" s="59">
        <v>70</v>
      </c>
      <c r="B72" s="59" t="s">
        <v>19</v>
      </c>
      <c r="C72" s="59"/>
      <c r="D72" s="51" t="s">
        <v>217</v>
      </c>
      <c r="E72" s="51"/>
      <c r="F72" s="51"/>
      <c r="G72" s="50"/>
      <c r="H72" s="80"/>
      <c r="I72" s="52"/>
      <c r="J72" s="141"/>
      <c r="K72" s="141"/>
      <c r="L72" s="52"/>
      <c r="M72" s="89"/>
      <c r="N72" s="89"/>
      <c r="O72" s="52"/>
      <c r="P72" s="8"/>
      <c r="Q72" s="8">
        <f t="shared" si="5"/>
        <v>0</v>
      </c>
      <c r="R72" s="8">
        <f t="shared" si="3"/>
        <v>0</v>
      </c>
      <c r="S72" s="29">
        <f t="shared" si="4"/>
        <v>0</v>
      </c>
      <c r="T72" s="29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163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9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</row>
    <row r="73" spans="1:117" ht="18.75" customHeight="1">
      <c r="A73" s="59">
        <v>71</v>
      </c>
      <c r="B73" s="59" t="s">
        <v>19</v>
      </c>
      <c r="C73" s="59"/>
      <c r="D73" s="51" t="s">
        <v>256</v>
      </c>
      <c r="E73" s="51"/>
      <c r="F73" s="51"/>
      <c r="G73" s="50"/>
      <c r="H73" s="80"/>
      <c r="I73" s="52"/>
      <c r="J73" s="141"/>
      <c r="K73" s="141"/>
      <c r="L73" s="52"/>
      <c r="M73" s="89"/>
      <c r="N73" s="89"/>
      <c r="O73" s="52"/>
      <c r="P73" s="8"/>
      <c r="Q73" s="8">
        <f t="shared" si="5"/>
        <v>0</v>
      </c>
      <c r="R73" s="8">
        <f t="shared" si="3"/>
        <v>0</v>
      </c>
      <c r="S73" s="29">
        <f t="shared" si="4"/>
        <v>0</v>
      </c>
      <c r="T73" s="29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163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9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</row>
    <row r="74" spans="1:117" ht="18.75" customHeight="1">
      <c r="A74" s="59">
        <v>72</v>
      </c>
      <c r="B74" s="59" t="s">
        <v>19</v>
      </c>
      <c r="C74" s="59"/>
      <c r="D74" s="51" t="s">
        <v>106</v>
      </c>
      <c r="E74" s="51"/>
      <c r="F74" s="51"/>
      <c r="G74" s="50"/>
      <c r="H74" s="148"/>
      <c r="I74" s="52"/>
      <c r="J74" s="141"/>
      <c r="K74" s="141"/>
      <c r="L74" s="52"/>
      <c r="M74" s="89"/>
      <c r="N74" s="89"/>
      <c r="O74" s="52"/>
      <c r="P74" s="8"/>
      <c r="Q74" s="8">
        <f t="shared" si="5"/>
        <v>0</v>
      </c>
      <c r="R74" s="8">
        <f t="shared" si="3"/>
        <v>0</v>
      </c>
      <c r="S74" s="29">
        <f t="shared" si="4"/>
        <v>0</v>
      </c>
      <c r="T74" s="29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163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9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</row>
    <row r="75" spans="1:117" ht="18.75" customHeight="1">
      <c r="A75" s="59">
        <v>73</v>
      </c>
      <c r="B75" s="59" t="s">
        <v>19</v>
      </c>
      <c r="C75" s="59"/>
      <c r="D75" s="51" t="s">
        <v>216</v>
      </c>
      <c r="E75" s="51"/>
      <c r="F75" s="51"/>
      <c r="G75" s="50"/>
      <c r="H75" s="80"/>
      <c r="I75" s="52"/>
      <c r="J75" s="141"/>
      <c r="K75" s="141"/>
      <c r="L75" s="52"/>
      <c r="M75" s="89"/>
      <c r="N75" s="89"/>
      <c r="O75" s="52"/>
      <c r="P75" s="8"/>
      <c r="Q75" s="8">
        <f t="shared" si="5"/>
        <v>0</v>
      </c>
      <c r="R75" s="8">
        <f t="shared" si="3"/>
        <v>0</v>
      </c>
      <c r="S75" s="29">
        <f t="shared" si="4"/>
        <v>0</v>
      </c>
      <c r="T75" s="29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163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9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</row>
    <row r="76" spans="1:117" ht="18.75" customHeight="1">
      <c r="A76" s="59">
        <v>74</v>
      </c>
      <c r="B76" s="59" t="s">
        <v>19</v>
      </c>
      <c r="C76" s="59"/>
      <c r="D76" s="51" t="s">
        <v>9</v>
      </c>
      <c r="E76" s="51"/>
      <c r="F76" s="51"/>
      <c r="G76" s="50"/>
      <c r="H76" s="80"/>
      <c r="I76" s="52"/>
      <c r="J76" s="141"/>
      <c r="K76" s="141"/>
      <c r="L76" s="52"/>
      <c r="M76" s="89"/>
      <c r="N76" s="89"/>
      <c r="O76" s="52"/>
      <c r="P76" s="8"/>
      <c r="Q76" s="8">
        <f t="shared" si="5"/>
        <v>0</v>
      </c>
      <c r="R76" s="8">
        <f t="shared" si="3"/>
        <v>0</v>
      </c>
      <c r="S76" s="29">
        <f t="shared" si="4"/>
        <v>0</v>
      </c>
      <c r="T76" s="29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163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9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</row>
    <row r="77" spans="1:117" ht="18.75" customHeight="1">
      <c r="A77" s="59">
        <v>75</v>
      </c>
      <c r="B77" s="59" t="s">
        <v>19</v>
      </c>
      <c r="C77" s="59"/>
      <c r="D77" s="51" t="s">
        <v>478</v>
      </c>
      <c r="E77" s="51"/>
      <c r="F77" s="51"/>
      <c r="G77" s="51"/>
      <c r="H77" s="51"/>
      <c r="I77" s="51"/>
      <c r="J77" s="51"/>
      <c r="K77" s="138"/>
      <c r="L77" s="52"/>
      <c r="M77" s="89"/>
      <c r="N77" s="89"/>
      <c r="O77" s="52"/>
      <c r="P77" s="8"/>
      <c r="Q77" s="8">
        <f t="shared" si="5"/>
        <v>0</v>
      </c>
      <c r="R77" s="8">
        <f t="shared" si="3"/>
        <v>0</v>
      </c>
      <c r="S77" s="29">
        <f t="shared" si="4"/>
        <v>0</v>
      </c>
      <c r="T77" s="8"/>
      <c r="U77" s="8"/>
      <c r="V77" s="8"/>
      <c r="W77" s="8"/>
      <c r="X77" s="8"/>
      <c r="Y77" s="8"/>
      <c r="Z77" s="2"/>
      <c r="AA77" s="2"/>
      <c r="AB77" s="2"/>
      <c r="AC77" s="2"/>
      <c r="AD77" s="2"/>
      <c r="AE77" s="2"/>
      <c r="AF77" s="2"/>
      <c r="AG77" s="8"/>
      <c r="AH77" s="8"/>
      <c r="AI77" s="29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162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3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29"/>
      <c r="DE77" s="29"/>
      <c r="DF77" s="29"/>
      <c r="DG77" s="29"/>
      <c r="DH77" s="29"/>
      <c r="DI77" s="29"/>
      <c r="DJ77" s="29"/>
      <c r="DK77" s="29"/>
      <c r="DL77" s="29"/>
      <c r="DM77" s="8"/>
    </row>
    <row r="78" spans="1:117" ht="18.75" customHeight="1">
      <c r="A78" s="59">
        <v>76</v>
      </c>
      <c r="B78" s="59" t="s">
        <v>19</v>
      </c>
      <c r="C78" s="59"/>
      <c r="D78" s="51" t="s">
        <v>563</v>
      </c>
      <c r="E78" s="51"/>
      <c r="F78" s="51"/>
      <c r="G78" s="51"/>
      <c r="H78" s="51"/>
      <c r="I78" s="51"/>
      <c r="J78" s="51"/>
      <c r="K78" s="141"/>
      <c r="L78" s="52"/>
      <c r="M78" s="89"/>
      <c r="N78" s="89"/>
      <c r="O78" s="52"/>
      <c r="P78" s="8"/>
      <c r="Q78" s="8">
        <f t="shared" si="5"/>
        <v>0</v>
      </c>
      <c r="R78" s="8">
        <f t="shared" si="3"/>
        <v>0</v>
      </c>
      <c r="S78" s="29">
        <f t="shared" si="4"/>
        <v>0</v>
      </c>
      <c r="T78" s="29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163"/>
      <c r="BE78" s="31"/>
      <c r="BF78" s="32"/>
      <c r="BG78" s="32"/>
      <c r="BH78" s="32"/>
      <c r="BI78" s="32"/>
      <c r="BJ78" s="28"/>
      <c r="BK78" s="28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9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</row>
    <row r="79" spans="1:117" ht="18.75" customHeight="1">
      <c r="A79" s="59">
        <v>77</v>
      </c>
      <c r="B79" s="59" t="s">
        <v>19</v>
      </c>
      <c r="C79" s="59"/>
      <c r="D79" s="51" t="s">
        <v>75</v>
      </c>
      <c r="E79" s="51"/>
      <c r="F79" s="51"/>
      <c r="G79" s="51"/>
      <c r="H79" s="51"/>
      <c r="I79" s="51"/>
      <c r="J79" s="51"/>
      <c r="K79" s="141"/>
      <c r="L79" s="52"/>
      <c r="M79" s="89"/>
      <c r="N79" s="89"/>
      <c r="O79" s="52"/>
      <c r="P79" s="8"/>
      <c r="Q79" s="8">
        <f t="shared" si="5"/>
        <v>0</v>
      </c>
      <c r="R79" s="8">
        <f t="shared" si="3"/>
        <v>0</v>
      </c>
      <c r="S79" s="29">
        <f t="shared" si="4"/>
        <v>0</v>
      </c>
      <c r="T79" s="29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163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9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</row>
    <row r="80" spans="1:117" ht="18.75" customHeight="1">
      <c r="A80" s="59">
        <v>78</v>
      </c>
      <c r="B80" s="59" t="s">
        <v>19</v>
      </c>
      <c r="C80" s="59"/>
      <c r="D80" s="51" t="s">
        <v>319</v>
      </c>
      <c r="E80" s="51"/>
      <c r="F80" s="51"/>
      <c r="G80" s="51"/>
      <c r="H80" s="51"/>
      <c r="I80" s="51"/>
      <c r="J80" s="51"/>
      <c r="K80" s="141"/>
      <c r="L80" s="52"/>
      <c r="M80" s="89"/>
      <c r="N80" s="89"/>
      <c r="O80" s="52"/>
      <c r="P80" s="8"/>
      <c r="Q80" s="8">
        <f t="shared" si="5"/>
        <v>0</v>
      </c>
      <c r="R80" s="8">
        <f t="shared" si="3"/>
        <v>0</v>
      </c>
      <c r="S80" s="29">
        <f t="shared" si="4"/>
        <v>0</v>
      </c>
      <c r="T80" s="29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163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9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</row>
    <row r="81" spans="1:117" ht="18.75" customHeight="1">
      <c r="A81" s="59">
        <v>79</v>
      </c>
      <c r="B81" s="59" t="s">
        <v>19</v>
      </c>
      <c r="C81" s="59"/>
      <c r="D81" s="51" t="s">
        <v>118</v>
      </c>
      <c r="E81" s="51"/>
      <c r="F81" s="51"/>
      <c r="G81" s="51"/>
      <c r="H81" s="51"/>
      <c r="I81" s="51"/>
      <c r="J81" s="51"/>
      <c r="K81" s="141"/>
      <c r="L81" s="52"/>
      <c r="M81" s="89"/>
      <c r="N81" s="89"/>
      <c r="O81" s="52"/>
      <c r="P81" s="8"/>
      <c r="Q81" s="8">
        <f t="shared" si="5"/>
        <v>0</v>
      </c>
      <c r="R81" s="8">
        <f t="shared" si="3"/>
        <v>0</v>
      </c>
      <c r="S81" s="29">
        <f t="shared" si="4"/>
        <v>0</v>
      </c>
      <c r="T81" s="29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163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9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</row>
    <row r="82" spans="1:117" ht="18.75" customHeight="1">
      <c r="A82" s="59">
        <v>80</v>
      </c>
      <c r="B82" s="59" t="s">
        <v>19</v>
      </c>
      <c r="C82" s="59"/>
      <c r="D82" s="51" t="s">
        <v>187</v>
      </c>
      <c r="E82" s="51"/>
      <c r="F82" s="51"/>
      <c r="G82" s="51"/>
      <c r="H82" s="51"/>
      <c r="I82" s="51"/>
      <c r="J82" s="51"/>
      <c r="K82" s="141"/>
      <c r="L82" s="52"/>
      <c r="M82" s="89"/>
      <c r="N82" s="89"/>
      <c r="O82" s="52"/>
      <c r="P82" s="8"/>
      <c r="Q82" s="8">
        <f t="shared" si="5"/>
        <v>0</v>
      </c>
      <c r="R82" s="8">
        <f t="shared" si="3"/>
        <v>0</v>
      </c>
      <c r="S82" s="29">
        <f t="shared" si="4"/>
        <v>0</v>
      </c>
      <c r="T82" s="29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163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9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</row>
    <row r="83" spans="1:117" ht="18.75" customHeight="1">
      <c r="A83" s="59">
        <v>81</v>
      </c>
      <c r="B83" s="59" t="s">
        <v>19</v>
      </c>
      <c r="C83" s="59"/>
      <c r="D83" s="51" t="s">
        <v>204</v>
      </c>
      <c r="E83" s="51"/>
      <c r="F83" s="51"/>
      <c r="G83" s="51"/>
      <c r="H83" s="51"/>
      <c r="I83" s="51"/>
      <c r="J83" s="51"/>
      <c r="K83" s="141"/>
      <c r="L83" s="52"/>
      <c r="M83" s="89"/>
      <c r="N83" s="89"/>
      <c r="O83" s="52"/>
      <c r="P83" s="8"/>
      <c r="Q83" s="8">
        <f t="shared" si="5"/>
        <v>0</v>
      </c>
      <c r="R83" s="8">
        <f t="shared" si="3"/>
        <v>0</v>
      </c>
      <c r="S83" s="29">
        <f t="shared" si="4"/>
        <v>0</v>
      </c>
      <c r="T83" s="29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163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9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28"/>
      <c r="DD83" s="28"/>
      <c r="DE83" s="31"/>
      <c r="DF83" s="31"/>
      <c r="DG83" s="31"/>
      <c r="DH83" s="31"/>
      <c r="DI83" s="31"/>
      <c r="DJ83" s="31"/>
      <c r="DK83" s="31"/>
      <c r="DL83" s="31"/>
      <c r="DM83" s="31"/>
    </row>
    <row r="84" spans="1:117" ht="18.75" customHeight="1">
      <c r="A84" s="59">
        <v>82</v>
      </c>
      <c r="B84" s="59" t="s">
        <v>19</v>
      </c>
      <c r="C84" s="59"/>
      <c r="D84" s="51" t="s">
        <v>205</v>
      </c>
      <c r="E84" s="51"/>
      <c r="F84" s="51"/>
      <c r="G84" s="51"/>
      <c r="H84" s="51"/>
      <c r="I84" s="51"/>
      <c r="J84" s="51"/>
      <c r="K84" s="141"/>
      <c r="L84" s="52"/>
      <c r="M84" s="89"/>
      <c r="N84" s="89"/>
      <c r="O84" s="52"/>
      <c r="P84" s="8"/>
      <c r="Q84" s="8">
        <f t="shared" si="5"/>
        <v>0</v>
      </c>
      <c r="R84" s="8">
        <f t="shared" si="3"/>
        <v>0</v>
      </c>
      <c r="S84" s="29">
        <f t="shared" si="4"/>
        <v>0</v>
      </c>
      <c r="T84" s="29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163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9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28"/>
      <c r="DD84" s="28"/>
      <c r="DE84" s="31"/>
      <c r="DF84" s="31"/>
      <c r="DG84" s="31"/>
      <c r="DH84" s="31"/>
      <c r="DI84" s="31"/>
      <c r="DJ84" s="31"/>
      <c r="DK84" s="31"/>
      <c r="DL84" s="31"/>
      <c r="DM84" s="31"/>
    </row>
    <row r="85" spans="1:117" ht="18.75" customHeight="1">
      <c r="A85" s="59">
        <v>83</v>
      </c>
      <c r="B85" s="59" t="s">
        <v>19</v>
      </c>
      <c r="C85" s="59"/>
      <c r="D85" s="51" t="s">
        <v>228</v>
      </c>
      <c r="E85" s="51"/>
      <c r="F85" s="51"/>
      <c r="G85" s="51"/>
      <c r="H85" s="51"/>
      <c r="I85" s="51"/>
      <c r="J85" s="51"/>
      <c r="K85" s="141"/>
      <c r="L85" s="52"/>
      <c r="M85" s="89"/>
      <c r="N85" s="89"/>
      <c r="O85" s="52"/>
      <c r="P85" s="8"/>
      <c r="Q85" s="8">
        <f t="shared" si="5"/>
        <v>0</v>
      </c>
      <c r="R85" s="8">
        <f t="shared" si="3"/>
        <v>0</v>
      </c>
      <c r="S85" s="29">
        <f t="shared" si="4"/>
        <v>0</v>
      </c>
      <c r="T85" s="29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163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9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31"/>
      <c r="DM85" s="31"/>
    </row>
    <row r="86" spans="1:117" ht="18.75" customHeight="1">
      <c r="A86" s="59">
        <v>84</v>
      </c>
      <c r="B86" s="59" t="s">
        <v>19</v>
      </c>
      <c r="C86" s="59"/>
      <c r="D86" s="51" t="s">
        <v>234</v>
      </c>
      <c r="E86" s="51"/>
      <c r="F86" s="51"/>
      <c r="G86" s="51"/>
      <c r="H86" s="51"/>
      <c r="I86" s="51"/>
      <c r="J86" s="51"/>
      <c r="K86" s="141"/>
      <c r="L86" s="52"/>
      <c r="M86" s="89"/>
      <c r="N86" s="89"/>
      <c r="O86" s="52"/>
      <c r="P86" s="8"/>
      <c r="Q86" s="8">
        <f t="shared" si="5"/>
        <v>0</v>
      </c>
      <c r="R86" s="8">
        <f t="shared" ref="R86:R149" si="6">SUM(T86:DM86)</f>
        <v>0</v>
      </c>
      <c r="S86" s="29">
        <f t="shared" si="4"/>
        <v>0</v>
      </c>
      <c r="T86" s="29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163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9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31"/>
      <c r="DM86" s="31"/>
    </row>
    <row r="87" spans="1:117" ht="18.75" customHeight="1">
      <c r="A87" s="59">
        <v>85</v>
      </c>
      <c r="B87" s="59" t="s">
        <v>19</v>
      </c>
      <c r="C87" s="59"/>
      <c r="D87" s="51" t="s">
        <v>235</v>
      </c>
      <c r="E87" s="51"/>
      <c r="F87" s="51"/>
      <c r="G87" s="51"/>
      <c r="H87" s="51"/>
      <c r="I87" s="51"/>
      <c r="J87" s="51"/>
      <c r="K87" s="141"/>
      <c r="L87" s="52"/>
      <c r="M87" s="89"/>
      <c r="N87" s="89"/>
      <c r="O87" s="52"/>
      <c r="P87" s="8"/>
      <c r="Q87" s="8">
        <f t="shared" si="5"/>
        <v>0</v>
      </c>
      <c r="R87" s="8">
        <f t="shared" si="6"/>
        <v>0</v>
      </c>
      <c r="S87" s="29">
        <f t="shared" si="4"/>
        <v>0</v>
      </c>
      <c r="T87" s="29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163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9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31"/>
      <c r="DM87" s="31"/>
    </row>
    <row r="88" spans="1:117" ht="18.75" customHeight="1">
      <c r="A88" s="59">
        <v>86</v>
      </c>
      <c r="B88" s="59" t="s">
        <v>19</v>
      </c>
      <c r="C88" s="59"/>
      <c r="D88" s="51" t="s">
        <v>247</v>
      </c>
      <c r="E88" s="51"/>
      <c r="F88" s="51"/>
      <c r="G88" s="51"/>
      <c r="H88" s="51"/>
      <c r="I88" s="51"/>
      <c r="J88" s="51"/>
      <c r="K88" s="141"/>
      <c r="L88" s="52"/>
      <c r="M88" s="89"/>
      <c r="N88" s="89"/>
      <c r="O88" s="52"/>
      <c r="P88" s="8"/>
      <c r="Q88" s="8">
        <f t="shared" si="5"/>
        <v>0</v>
      </c>
      <c r="R88" s="8">
        <f t="shared" si="6"/>
        <v>0</v>
      </c>
      <c r="S88" s="29">
        <f t="shared" si="4"/>
        <v>0</v>
      </c>
      <c r="T88" s="29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163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9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</row>
    <row r="89" spans="1:117" ht="18.75" customHeight="1">
      <c r="A89" s="59">
        <v>87</v>
      </c>
      <c r="B89" s="59" t="s">
        <v>19</v>
      </c>
      <c r="C89" s="59"/>
      <c r="D89" s="51" t="s">
        <v>12</v>
      </c>
      <c r="E89" s="51"/>
      <c r="F89" s="51"/>
      <c r="G89" s="51"/>
      <c r="H89" s="51"/>
      <c r="I89" s="51"/>
      <c r="J89" s="51"/>
      <c r="K89" s="141"/>
      <c r="L89" s="52"/>
      <c r="M89" s="89"/>
      <c r="N89" s="89"/>
      <c r="O89" s="52"/>
      <c r="P89" s="8"/>
      <c r="Q89" s="8">
        <f t="shared" si="5"/>
        <v>0</v>
      </c>
      <c r="R89" s="8">
        <f t="shared" si="6"/>
        <v>0</v>
      </c>
      <c r="S89" s="29">
        <f t="shared" si="4"/>
        <v>0</v>
      </c>
      <c r="T89" s="29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163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9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</row>
    <row r="90" spans="1:117" ht="18.75" customHeight="1">
      <c r="A90" s="59">
        <v>88</v>
      </c>
      <c r="B90" s="59" t="s">
        <v>19</v>
      </c>
      <c r="C90" s="59"/>
      <c r="D90" s="51" t="s">
        <v>245</v>
      </c>
      <c r="E90" s="51"/>
      <c r="F90" s="51"/>
      <c r="G90" s="51"/>
      <c r="H90" s="51"/>
      <c r="I90" s="51"/>
      <c r="J90" s="51"/>
      <c r="K90" s="141"/>
      <c r="L90" s="52"/>
      <c r="M90" s="89"/>
      <c r="N90" s="89"/>
      <c r="O90" s="52"/>
      <c r="P90" s="8"/>
      <c r="Q90" s="8">
        <f t="shared" si="5"/>
        <v>0</v>
      </c>
      <c r="R90" s="8">
        <f t="shared" si="6"/>
        <v>0</v>
      </c>
      <c r="S90" s="29">
        <f t="shared" si="4"/>
        <v>0</v>
      </c>
      <c r="T90" s="29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163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9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</row>
    <row r="91" spans="1:117" ht="18.75" customHeight="1">
      <c r="A91" s="59">
        <v>89</v>
      </c>
      <c r="B91" s="59" t="s">
        <v>19</v>
      </c>
      <c r="C91" s="59"/>
      <c r="D91" s="51" t="s">
        <v>248</v>
      </c>
      <c r="E91" s="51"/>
      <c r="F91" s="51"/>
      <c r="G91" s="51"/>
      <c r="H91" s="51"/>
      <c r="I91" s="51"/>
      <c r="J91" s="51"/>
      <c r="K91" s="141"/>
      <c r="L91" s="52"/>
      <c r="M91" s="89"/>
      <c r="N91" s="89"/>
      <c r="O91" s="52"/>
      <c r="P91" s="8"/>
      <c r="Q91" s="8">
        <f t="shared" si="5"/>
        <v>0</v>
      </c>
      <c r="R91" s="8">
        <f t="shared" si="6"/>
        <v>0</v>
      </c>
      <c r="S91" s="29">
        <f t="shared" si="4"/>
        <v>0</v>
      </c>
      <c r="T91" s="29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163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9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31"/>
      <c r="DM91" s="31"/>
    </row>
    <row r="92" spans="1:117" ht="18.75" customHeight="1">
      <c r="A92" s="59">
        <v>90</v>
      </c>
      <c r="B92" s="59" t="s">
        <v>19</v>
      </c>
      <c r="C92" s="59"/>
      <c r="D92" s="51" t="s">
        <v>179</v>
      </c>
      <c r="E92" s="51"/>
      <c r="F92" s="51"/>
      <c r="G92" s="51"/>
      <c r="H92" s="51"/>
      <c r="I92" s="51"/>
      <c r="J92" s="51"/>
      <c r="K92" s="141"/>
      <c r="L92" s="52"/>
      <c r="M92" s="89"/>
      <c r="N92" s="89"/>
      <c r="O92" s="52"/>
      <c r="P92" s="8"/>
      <c r="Q92" s="8">
        <f t="shared" si="5"/>
        <v>0</v>
      </c>
      <c r="R92" s="8">
        <f t="shared" si="6"/>
        <v>0</v>
      </c>
      <c r="S92" s="29">
        <f t="shared" si="4"/>
        <v>0</v>
      </c>
      <c r="T92" s="29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163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9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31"/>
      <c r="DM92" s="31"/>
    </row>
    <row r="93" spans="1:117" ht="18.75" customHeight="1">
      <c r="A93" s="59">
        <v>91</v>
      </c>
      <c r="B93" s="59" t="s">
        <v>19</v>
      </c>
      <c r="C93" s="59"/>
      <c r="D93" s="51" t="s">
        <v>257</v>
      </c>
      <c r="E93" s="51"/>
      <c r="F93" s="51"/>
      <c r="G93" s="51"/>
      <c r="H93" s="51"/>
      <c r="I93" s="51"/>
      <c r="J93" s="51"/>
      <c r="K93" s="141"/>
      <c r="L93" s="52"/>
      <c r="M93" s="89"/>
      <c r="N93" s="89"/>
      <c r="O93" s="52"/>
      <c r="P93" s="8"/>
      <c r="Q93" s="8">
        <f t="shared" si="5"/>
        <v>0</v>
      </c>
      <c r="R93" s="8">
        <f t="shared" si="6"/>
        <v>0</v>
      </c>
      <c r="S93" s="29">
        <f t="shared" si="4"/>
        <v>0</v>
      </c>
      <c r="T93" s="29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163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9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31"/>
      <c r="DM93" s="31"/>
    </row>
    <row r="94" spans="1:117" ht="18.75" customHeight="1">
      <c r="A94" s="59">
        <v>92</v>
      </c>
      <c r="B94" s="59" t="s">
        <v>19</v>
      </c>
      <c r="C94" s="59"/>
      <c r="D94" s="151" t="s">
        <v>261</v>
      </c>
      <c r="E94" s="151"/>
      <c r="F94" s="51"/>
      <c r="G94" s="51"/>
      <c r="H94" s="51"/>
      <c r="I94" s="51"/>
      <c r="J94" s="51"/>
      <c r="K94" s="141"/>
      <c r="L94" s="52"/>
      <c r="M94" s="89"/>
      <c r="N94" s="89"/>
      <c r="O94" s="52"/>
      <c r="P94" s="8"/>
      <c r="Q94" s="8">
        <f t="shared" si="5"/>
        <v>0</v>
      </c>
      <c r="R94" s="8">
        <f t="shared" si="6"/>
        <v>0</v>
      </c>
      <c r="S94" s="29">
        <f t="shared" si="4"/>
        <v>0</v>
      </c>
      <c r="T94" s="29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163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9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31"/>
      <c r="DM94" s="31"/>
    </row>
    <row r="95" spans="1:117" ht="18.75" customHeight="1">
      <c r="A95" s="59">
        <v>93</v>
      </c>
      <c r="B95" s="59" t="s">
        <v>19</v>
      </c>
      <c r="C95" s="59"/>
      <c r="D95" s="151" t="s">
        <v>262</v>
      </c>
      <c r="E95" s="151"/>
      <c r="F95" s="51"/>
      <c r="G95" s="51"/>
      <c r="H95" s="51"/>
      <c r="I95" s="51"/>
      <c r="J95" s="51"/>
      <c r="K95" s="141"/>
      <c r="L95" s="52"/>
      <c r="M95" s="89"/>
      <c r="N95" s="89"/>
      <c r="O95" s="52"/>
      <c r="P95" s="8"/>
      <c r="Q95" s="8">
        <f t="shared" si="5"/>
        <v>0</v>
      </c>
      <c r="R95" s="8">
        <f t="shared" si="6"/>
        <v>0</v>
      </c>
      <c r="S95" s="29">
        <f t="shared" si="4"/>
        <v>0</v>
      </c>
      <c r="T95" s="29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163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9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</row>
    <row r="96" spans="1:117" ht="18.75" customHeight="1">
      <c r="A96" s="59">
        <v>94</v>
      </c>
      <c r="B96" s="59" t="s">
        <v>19</v>
      </c>
      <c r="C96" s="59"/>
      <c r="D96" s="51" t="s">
        <v>312</v>
      </c>
      <c r="E96" s="51"/>
      <c r="F96" s="51"/>
      <c r="G96" s="51"/>
      <c r="H96" s="51"/>
      <c r="I96" s="51"/>
      <c r="J96" s="51"/>
      <c r="K96" s="141"/>
      <c r="L96" s="52"/>
      <c r="M96" s="89"/>
      <c r="N96" s="89"/>
      <c r="O96" s="52"/>
      <c r="P96" s="8"/>
      <c r="Q96" s="8">
        <f t="shared" si="5"/>
        <v>0</v>
      </c>
      <c r="R96" s="8">
        <f t="shared" si="6"/>
        <v>0</v>
      </c>
      <c r="S96" s="29">
        <f t="shared" si="4"/>
        <v>0</v>
      </c>
      <c r="T96" s="29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163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9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31"/>
      <c r="DM96" s="31"/>
    </row>
    <row r="97" spans="1:117" ht="18.75" customHeight="1">
      <c r="A97" s="59">
        <v>95</v>
      </c>
      <c r="B97" s="59" t="s">
        <v>19</v>
      </c>
      <c r="C97" s="59"/>
      <c r="D97" s="51" t="s">
        <v>264</v>
      </c>
      <c r="E97" s="51"/>
      <c r="F97" s="51"/>
      <c r="G97" s="51"/>
      <c r="H97" s="51"/>
      <c r="I97" s="51"/>
      <c r="J97" s="51"/>
      <c r="K97" s="141"/>
      <c r="L97" s="52"/>
      <c r="M97" s="89"/>
      <c r="N97" s="89"/>
      <c r="O97" s="52"/>
      <c r="P97" s="8"/>
      <c r="Q97" s="8">
        <f t="shared" si="5"/>
        <v>0</v>
      </c>
      <c r="R97" s="8">
        <f t="shared" si="6"/>
        <v>0</v>
      </c>
      <c r="S97" s="29">
        <f t="shared" si="4"/>
        <v>0</v>
      </c>
      <c r="T97" s="29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163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9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</row>
    <row r="98" spans="1:117" ht="18.75" customHeight="1">
      <c r="A98" s="59">
        <v>96</v>
      </c>
      <c r="B98" s="59" t="s">
        <v>19</v>
      </c>
      <c r="C98" s="59"/>
      <c r="D98" s="51" t="s">
        <v>267</v>
      </c>
      <c r="E98" s="51"/>
      <c r="F98" s="51"/>
      <c r="G98" s="51"/>
      <c r="H98" s="51"/>
      <c r="I98" s="51"/>
      <c r="J98" s="51"/>
      <c r="K98" s="141"/>
      <c r="L98" s="52"/>
      <c r="M98" s="89"/>
      <c r="N98" s="89"/>
      <c r="O98" s="52"/>
      <c r="P98" s="8"/>
      <c r="Q98" s="8">
        <f t="shared" si="5"/>
        <v>0</v>
      </c>
      <c r="R98" s="8">
        <f t="shared" si="6"/>
        <v>0</v>
      </c>
      <c r="S98" s="29">
        <f t="shared" si="4"/>
        <v>0</v>
      </c>
      <c r="T98" s="29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163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9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</row>
    <row r="99" spans="1:117" ht="18.75" customHeight="1">
      <c r="A99" s="59">
        <v>97</v>
      </c>
      <c r="B99" s="59" t="s">
        <v>19</v>
      </c>
      <c r="C99" s="59"/>
      <c r="D99" s="51" t="s">
        <v>268</v>
      </c>
      <c r="E99" s="51"/>
      <c r="F99" s="51"/>
      <c r="G99" s="51"/>
      <c r="H99" s="51"/>
      <c r="I99" s="51"/>
      <c r="J99" s="51"/>
      <c r="K99" s="141"/>
      <c r="L99" s="52"/>
      <c r="M99" s="89"/>
      <c r="N99" s="89"/>
      <c r="O99" s="52"/>
      <c r="P99" s="8"/>
      <c r="Q99" s="8">
        <f t="shared" si="5"/>
        <v>0</v>
      </c>
      <c r="R99" s="8">
        <f t="shared" si="6"/>
        <v>0</v>
      </c>
      <c r="S99" s="29">
        <f t="shared" si="4"/>
        <v>0</v>
      </c>
      <c r="T99" s="29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163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9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</row>
    <row r="100" spans="1:117" ht="18.75" customHeight="1">
      <c r="A100" s="59">
        <v>98</v>
      </c>
      <c r="B100" s="59" t="s">
        <v>19</v>
      </c>
      <c r="C100" s="59"/>
      <c r="D100" s="51" t="s">
        <v>280</v>
      </c>
      <c r="E100" s="51"/>
      <c r="F100" s="51"/>
      <c r="G100" s="51"/>
      <c r="H100" s="51"/>
      <c r="I100" s="51"/>
      <c r="J100" s="51"/>
      <c r="K100" s="141"/>
      <c r="L100" s="52"/>
      <c r="M100" s="89"/>
      <c r="N100" s="89"/>
      <c r="O100" s="52"/>
      <c r="P100" s="8"/>
      <c r="Q100" s="8">
        <f t="shared" si="5"/>
        <v>0</v>
      </c>
      <c r="R100" s="8">
        <f t="shared" si="6"/>
        <v>0</v>
      </c>
      <c r="S100" s="29">
        <f t="shared" si="4"/>
        <v>0</v>
      </c>
      <c r="T100" s="29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163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9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</row>
    <row r="101" spans="1:117" ht="18.75" customHeight="1">
      <c r="A101" s="59">
        <v>99</v>
      </c>
      <c r="B101" s="59" t="s">
        <v>19</v>
      </c>
      <c r="C101" s="59"/>
      <c r="D101" s="51" t="s">
        <v>292</v>
      </c>
      <c r="E101" s="51"/>
      <c r="F101" s="51"/>
      <c r="G101" s="51"/>
      <c r="H101" s="51"/>
      <c r="I101" s="51"/>
      <c r="J101" s="51"/>
      <c r="K101" s="141"/>
      <c r="L101" s="52"/>
      <c r="M101" s="89"/>
      <c r="N101" s="89"/>
      <c r="O101" s="52"/>
      <c r="P101" s="8"/>
      <c r="Q101" s="8">
        <f t="shared" si="5"/>
        <v>0</v>
      </c>
      <c r="R101" s="8">
        <f t="shared" si="6"/>
        <v>0</v>
      </c>
      <c r="S101" s="29">
        <f t="shared" si="4"/>
        <v>0</v>
      </c>
      <c r="T101" s="29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163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9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</row>
    <row r="102" spans="1:117" ht="18.75" customHeight="1">
      <c r="A102" s="59">
        <v>100</v>
      </c>
      <c r="B102" s="59" t="s">
        <v>19</v>
      </c>
      <c r="C102" s="59"/>
      <c r="D102" s="51" t="s">
        <v>300</v>
      </c>
      <c r="E102" s="51"/>
      <c r="F102" s="51"/>
      <c r="G102" s="51"/>
      <c r="H102" s="51"/>
      <c r="I102" s="51"/>
      <c r="J102" s="51"/>
      <c r="K102" s="141"/>
      <c r="L102" s="52"/>
      <c r="M102" s="89"/>
      <c r="N102" s="89"/>
      <c r="O102" s="52"/>
      <c r="P102" s="8"/>
      <c r="Q102" s="8">
        <f t="shared" si="5"/>
        <v>0</v>
      </c>
      <c r="R102" s="8">
        <f t="shared" si="6"/>
        <v>0</v>
      </c>
      <c r="S102" s="29">
        <f t="shared" si="4"/>
        <v>0</v>
      </c>
      <c r="T102" s="29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163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9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</row>
    <row r="103" spans="1:117" ht="18.75" customHeight="1">
      <c r="A103" s="59">
        <v>101</v>
      </c>
      <c r="B103" s="59" t="s">
        <v>19</v>
      </c>
      <c r="C103" s="59"/>
      <c r="D103" s="51" t="s">
        <v>117</v>
      </c>
      <c r="E103" s="51"/>
      <c r="F103" s="51"/>
      <c r="G103" s="51"/>
      <c r="H103" s="51"/>
      <c r="I103" s="51"/>
      <c r="J103" s="51"/>
      <c r="K103" s="141"/>
      <c r="L103" s="52"/>
      <c r="M103" s="89"/>
      <c r="N103" s="89"/>
      <c r="O103" s="52"/>
      <c r="P103" s="8"/>
      <c r="Q103" s="8">
        <f t="shared" si="5"/>
        <v>0</v>
      </c>
      <c r="R103" s="8">
        <f t="shared" si="6"/>
        <v>0</v>
      </c>
      <c r="S103" s="29">
        <f t="shared" si="4"/>
        <v>0</v>
      </c>
      <c r="T103" s="29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163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9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</row>
    <row r="104" spans="1:117" ht="18.75" customHeight="1">
      <c r="A104" s="59">
        <v>102</v>
      </c>
      <c r="B104" s="59" t="s">
        <v>19</v>
      </c>
      <c r="C104" s="59"/>
      <c r="D104" s="51" t="s">
        <v>317</v>
      </c>
      <c r="E104" s="51"/>
      <c r="F104" s="51"/>
      <c r="G104" s="51"/>
      <c r="H104" s="51"/>
      <c r="I104" s="51"/>
      <c r="J104" s="51"/>
      <c r="K104" s="141"/>
      <c r="L104" s="52"/>
      <c r="M104" s="89"/>
      <c r="N104" s="89"/>
      <c r="O104" s="52"/>
      <c r="P104" s="8"/>
      <c r="Q104" s="8">
        <f t="shared" si="5"/>
        <v>0</v>
      </c>
      <c r="R104" s="8">
        <f t="shared" si="6"/>
        <v>0</v>
      </c>
      <c r="S104" s="29">
        <f t="shared" si="4"/>
        <v>0</v>
      </c>
      <c r="T104" s="29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163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9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</row>
    <row r="105" spans="1:117" ht="18.75" customHeight="1">
      <c r="A105" s="59">
        <v>103</v>
      </c>
      <c r="B105" s="59" t="s">
        <v>19</v>
      </c>
      <c r="C105" s="59"/>
      <c r="D105" s="51" t="s">
        <v>316</v>
      </c>
      <c r="E105" s="51"/>
      <c r="F105" s="51"/>
      <c r="G105" s="51"/>
      <c r="H105" s="51"/>
      <c r="I105" s="51"/>
      <c r="J105" s="51"/>
      <c r="K105" s="141"/>
      <c r="L105" s="52"/>
      <c r="M105" s="89"/>
      <c r="N105" s="89"/>
      <c r="O105" s="52"/>
      <c r="P105" s="8"/>
      <c r="Q105" s="8">
        <f t="shared" si="5"/>
        <v>0</v>
      </c>
      <c r="R105" s="8">
        <f t="shared" si="6"/>
        <v>0</v>
      </c>
      <c r="S105" s="29">
        <f t="shared" si="4"/>
        <v>0</v>
      </c>
      <c r="T105" s="29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163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9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</row>
    <row r="106" spans="1:117" ht="18.75" customHeight="1">
      <c r="A106" s="59">
        <v>104</v>
      </c>
      <c r="B106" s="59" t="s">
        <v>19</v>
      </c>
      <c r="C106" s="59"/>
      <c r="D106" s="51" t="s">
        <v>322</v>
      </c>
      <c r="E106" s="51"/>
      <c r="F106" s="51"/>
      <c r="G106" s="51"/>
      <c r="H106" s="51"/>
      <c r="I106" s="51"/>
      <c r="J106" s="51"/>
      <c r="K106" s="141"/>
      <c r="L106" s="52"/>
      <c r="M106" s="89"/>
      <c r="N106" s="89"/>
      <c r="O106" s="52"/>
      <c r="P106" s="8"/>
      <c r="Q106" s="8">
        <f t="shared" si="5"/>
        <v>0</v>
      </c>
      <c r="R106" s="8">
        <f t="shared" si="6"/>
        <v>0</v>
      </c>
      <c r="S106" s="29">
        <f t="shared" si="4"/>
        <v>0</v>
      </c>
      <c r="T106" s="29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163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9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</row>
    <row r="107" spans="1:117" ht="18.75" customHeight="1">
      <c r="A107" s="59">
        <v>105</v>
      </c>
      <c r="B107" s="59" t="s">
        <v>19</v>
      </c>
      <c r="C107" s="59"/>
      <c r="D107" s="51" t="s">
        <v>315</v>
      </c>
      <c r="E107" s="51"/>
      <c r="F107" s="51"/>
      <c r="G107" s="51"/>
      <c r="H107" s="51"/>
      <c r="I107" s="51"/>
      <c r="J107" s="51"/>
      <c r="K107" s="141"/>
      <c r="L107" s="52"/>
      <c r="M107" s="89"/>
      <c r="N107" s="89"/>
      <c r="O107" s="52"/>
      <c r="P107" s="8"/>
      <c r="Q107" s="8">
        <f t="shared" si="5"/>
        <v>0</v>
      </c>
      <c r="R107" s="8">
        <f t="shared" si="6"/>
        <v>0</v>
      </c>
      <c r="S107" s="29">
        <f t="shared" si="4"/>
        <v>0</v>
      </c>
      <c r="T107" s="29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163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9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</row>
    <row r="108" spans="1:117" ht="18.75" customHeight="1">
      <c r="A108" s="59">
        <v>106</v>
      </c>
      <c r="B108" s="59" t="s">
        <v>19</v>
      </c>
      <c r="C108" s="59"/>
      <c r="D108" s="51" t="s">
        <v>373</v>
      </c>
      <c r="E108" s="51"/>
      <c r="F108" s="51"/>
      <c r="G108" s="51"/>
      <c r="H108" s="51"/>
      <c r="I108" s="51"/>
      <c r="J108" s="51"/>
      <c r="K108" s="141"/>
      <c r="L108" s="52"/>
      <c r="M108" s="89"/>
      <c r="N108" s="89"/>
      <c r="O108" s="52"/>
      <c r="P108" s="8"/>
      <c r="Q108" s="8">
        <f t="shared" si="5"/>
        <v>0</v>
      </c>
      <c r="R108" s="8">
        <f t="shared" si="6"/>
        <v>0</v>
      </c>
      <c r="S108" s="29">
        <f t="shared" si="4"/>
        <v>0</v>
      </c>
      <c r="T108" s="29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163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9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</row>
    <row r="109" spans="1:117" ht="18.75" customHeight="1">
      <c r="A109" s="59">
        <v>107</v>
      </c>
      <c r="B109" s="59" t="s">
        <v>19</v>
      </c>
      <c r="C109" s="59"/>
      <c r="D109" s="51" t="s">
        <v>352</v>
      </c>
      <c r="E109" s="51"/>
      <c r="F109" s="51"/>
      <c r="G109" s="51"/>
      <c r="H109" s="51"/>
      <c r="I109" s="51"/>
      <c r="J109" s="51"/>
      <c r="K109" s="141"/>
      <c r="L109" s="52"/>
      <c r="M109" s="89"/>
      <c r="N109" s="89"/>
      <c r="O109" s="52"/>
      <c r="P109" s="8"/>
      <c r="Q109" s="8">
        <f t="shared" si="5"/>
        <v>0</v>
      </c>
      <c r="R109" s="8">
        <f t="shared" si="6"/>
        <v>0</v>
      </c>
      <c r="S109" s="29">
        <f t="shared" si="4"/>
        <v>0</v>
      </c>
      <c r="T109" s="29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163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9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</row>
    <row r="110" spans="1:117" ht="18.75" customHeight="1">
      <c r="A110" s="59">
        <v>108</v>
      </c>
      <c r="B110" s="59" t="s">
        <v>19</v>
      </c>
      <c r="C110" s="59"/>
      <c r="D110" s="51" t="s">
        <v>375</v>
      </c>
      <c r="E110" s="51"/>
      <c r="F110" s="51"/>
      <c r="G110" s="51"/>
      <c r="H110" s="51"/>
      <c r="I110" s="51"/>
      <c r="J110" s="51"/>
      <c r="K110" s="141"/>
      <c r="L110" s="52"/>
      <c r="M110" s="89"/>
      <c r="N110" s="89"/>
      <c r="O110" s="52"/>
      <c r="P110" s="8"/>
      <c r="Q110" s="8">
        <f t="shared" si="5"/>
        <v>0</v>
      </c>
      <c r="R110" s="8">
        <f t="shared" si="6"/>
        <v>0</v>
      </c>
      <c r="S110" s="29">
        <f t="shared" si="4"/>
        <v>0</v>
      </c>
      <c r="T110" s="29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163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9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</row>
    <row r="111" spans="1:117" ht="18.75" customHeight="1">
      <c r="A111" s="59">
        <v>109</v>
      </c>
      <c r="B111" s="59" t="s">
        <v>19</v>
      </c>
      <c r="C111" s="59"/>
      <c r="D111" s="51" t="s">
        <v>16</v>
      </c>
      <c r="E111" s="51"/>
      <c r="F111" s="51"/>
      <c r="G111" s="51"/>
      <c r="H111" s="51"/>
      <c r="I111" s="51"/>
      <c r="J111" s="51"/>
      <c r="K111" s="141"/>
      <c r="L111" s="52"/>
      <c r="M111" s="89"/>
      <c r="N111" s="89"/>
      <c r="O111" s="52"/>
      <c r="P111" s="8"/>
      <c r="Q111" s="8">
        <f t="shared" si="5"/>
        <v>0</v>
      </c>
      <c r="R111" s="8">
        <f t="shared" si="6"/>
        <v>0</v>
      </c>
      <c r="S111" s="29">
        <f t="shared" si="4"/>
        <v>0</v>
      </c>
      <c r="T111" s="29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163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9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</row>
    <row r="112" spans="1:117" ht="18.75" customHeight="1">
      <c r="A112" s="59">
        <v>110</v>
      </c>
      <c r="B112" s="59" t="s">
        <v>19</v>
      </c>
      <c r="C112" s="59"/>
      <c r="D112" s="51" t="s">
        <v>301</v>
      </c>
      <c r="E112" s="51"/>
      <c r="F112" s="51"/>
      <c r="G112" s="51"/>
      <c r="H112" s="51"/>
      <c r="I112" s="51"/>
      <c r="J112" s="51"/>
      <c r="K112" s="141"/>
      <c r="L112" s="52"/>
      <c r="M112" s="89"/>
      <c r="N112" s="89"/>
      <c r="O112" s="52"/>
      <c r="P112" s="8"/>
      <c r="Q112" s="8">
        <f t="shared" si="5"/>
        <v>0</v>
      </c>
      <c r="R112" s="8">
        <f t="shared" si="6"/>
        <v>0</v>
      </c>
      <c r="S112" s="29">
        <f t="shared" si="4"/>
        <v>0</v>
      </c>
      <c r="T112" s="29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163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9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</row>
    <row r="113" spans="1:117" ht="18.75" customHeight="1">
      <c r="A113" s="59">
        <v>111</v>
      </c>
      <c r="B113" s="59" t="s">
        <v>19</v>
      </c>
      <c r="C113" s="59"/>
      <c r="D113" s="51" t="s">
        <v>263</v>
      </c>
      <c r="E113" s="51"/>
      <c r="F113" s="51"/>
      <c r="G113" s="51"/>
      <c r="H113" s="51"/>
      <c r="I113" s="51"/>
      <c r="J113" s="51"/>
      <c r="K113" s="141"/>
      <c r="L113" s="52"/>
      <c r="M113" s="89"/>
      <c r="N113" s="89"/>
      <c r="O113" s="52"/>
      <c r="P113" s="8"/>
      <c r="Q113" s="8">
        <f t="shared" si="5"/>
        <v>0</v>
      </c>
      <c r="R113" s="8">
        <f t="shared" si="6"/>
        <v>0</v>
      </c>
      <c r="S113" s="29">
        <f t="shared" si="4"/>
        <v>0</v>
      </c>
      <c r="T113" s="29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163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9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</row>
    <row r="114" spans="1:117" ht="18.75" customHeight="1">
      <c r="A114" s="59">
        <v>112</v>
      </c>
      <c r="B114" s="59" t="s">
        <v>19</v>
      </c>
      <c r="C114" s="59"/>
      <c r="D114" s="51" t="s">
        <v>208</v>
      </c>
      <c r="E114" s="51"/>
      <c r="F114" s="51"/>
      <c r="G114" s="50"/>
      <c r="H114" s="80"/>
      <c r="I114" s="52"/>
      <c r="J114" s="141"/>
      <c r="K114" s="141"/>
      <c r="L114" s="52"/>
      <c r="M114" s="89"/>
      <c r="N114" s="89"/>
      <c r="O114" s="52"/>
      <c r="P114" s="8"/>
      <c r="Q114" s="8">
        <f t="shared" si="5"/>
        <v>0</v>
      </c>
      <c r="R114" s="8">
        <f t="shared" si="6"/>
        <v>0</v>
      </c>
      <c r="S114" s="29">
        <f t="shared" si="4"/>
        <v>0</v>
      </c>
      <c r="T114" s="29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163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9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</row>
    <row r="115" spans="1:117" ht="18.75" customHeight="1">
      <c r="A115" s="59">
        <v>113</v>
      </c>
      <c r="B115" s="59" t="s">
        <v>19</v>
      </c>
      <c r="C115" s="59"/>
      <c r="D115" s="51" t="s">
        <v>367</v>
      </c>
      <c r="E115" s="51"/>
      <c r="F115" s="51"/>
      <c r="G115" s="50"/>
      <c r="H115" s="80"/>
      <c r="I115" s="52"/>
      <c r="J115" s="141"/>
      <c r="K115" s="141"/>
      <c r="L115" s="52"/>
      <c r="M115" s="89"/>
      <c r="N115" s="89"/>
      <c r="O115" s="52"/>
      <c r="P115" s="8"/>
      <c r="Q115" s="8">
        <f t="shared" si="5"/>
        <v>0</v>
      </c>
      <c r="R115" s="8">
        <f t="shared" si="6"/>
        <v>0</v>
      </c>
      <c r="S115" s="29">
        <f t="shared" si="4"/>
        <v>0</v>
      </c>
      <c r="T115" s="29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163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9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</row>
    <row r="116" spans="1:117" ht="18.75" customHeight="1">
      <c r="A116" s="59">
        <v>114</v>
      </c>
      <c r="B116" s="59" t="s">
        <v>19</v>
      </c>
      <c r="C116" s="59"/>
      <c r="D116" s="51" t="s">
        <v>78</v>
      </c>
      <c r="E116" s="51"/>
      <c r="F116" s="51"/>
      <c r="G116" s="50"/>
      <c r="H116" s="80"/>
      <c r="I116" s="52"/>
      <c r="J116" s="141"/>
      <c r="K116" s="141"/>
      <c r="L116" s="52"/>
      <c r="M116" s="89"/>
      <c r="N116" s="89"/>
      <c r="O116" s="52"/>
      <c r="P116" s="8"/>
      <c r="Q116" s="8">
        <f t="shared" si="5"/>
        <v>0</v>
      </c>
      <c r="R116" s="8">
        <f t="shared" si="6"/>
        <v>0</v>
      </c>
      <c r="S116" s="29">
        <f t="shared" si="4"/>
        <v>0</v>
      </c>
      <c r="T116" s="29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163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9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</row>
    <row r="117" spans="1:117" ht="18.75" customHeight="1">
      <c r="A117" s="59">
        <v>115</v>
      </c>
      <c r="B117" s="59" t="s">
        <v>19</v>
      </c>
      <c r="C117" s="59"/>
      <c r="D117" s="51" t="s">
        <v>348</v>
      </c>
      <c r="E117" s="51"/>
      <c r="F117" s="51"/>
      <c r="G117" s="50"/>
      <c r="H117" s="80"/>
      <c r="I117" s="52"/>
      <c r="J117" s="141"/>
      <c r="K117" s="141"/>
      <c r="L117" s="52"/>
      <c r="M117" s="89"/>
      <c r="N117" s="89"/>
      <c r="O117" s="52"/>
      <c r="P117" s="8"/>
      <c r="Q117" s="8">
        <f t="shared" si="5"/>
        <v>0</v>
      </c>
      <c r="R117" s="8">
        <f t="shared" si="6"/>
        <v>0</v>
      </c>
      <c r="S117" s="29">
        <f t="shared" si="4"/>
        <v>0</v>
      </c>
      <c r="T117" s="29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163"/>
      <c r="BE117" s="31"/>
      <c r="BF117" s="31"/>
      <c r="BG117" s="31"/>
      <c r="BH117" s="31"/>
      <c r="BI117" s="31"/>
      <c r="BJ117" s="31"/>
      <c r="BK117" s="31"/>
      <c r="BL117" s="31"/>
      <c r="BM117" s="31"/>
      <c r="BN117" s="28"/>
      <c r="BO117" s="28"/>
      <c r="BP117" s="28"/>
      <c r="BQ117" s="28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9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</row>
    <row r="118" spans="1:117" ht="18.75" customHeight="1">
      <c r="A118" s="59">
        <v>116</v>
      </c>
      <c r="B118" s="59" t="s">
        <v>19</v>
      </c>
      <c r="C118" s="59"/>
      <c r="D118" s="51" t="s">
        <v>590</v>
      </c>
      <c r="E118" s="51"/>
      <c r="F118" s="51"/>
      <c r="G118" s="50"/>
      <c r="H118" s="80"/>
      <c r="I118" s="52"/>
      <c r="J118" s="141"/>
      <c r="K118" s="141"/>
      <c r="L118" s="52"/>
      <c r="M118" s="89"/>
      <c r="N118" s="89"/>
      <c r="O118" s="52"/>
      <c r="P118" s="8"/>
      <c r="Q118" s="8">
        <f t="shared" si="5"/>
        <v>0</v>
      </c>
      <c r="R118" s="8">
        <f t="shared" si="6"/>
        <v>0</v>
      </c>
      <c r="S118" s="29">
        <f t="shared" si="4"/>
        <v>0</v>
      </c>
      <c r="T118" s="29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163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9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</row>
    <row r="119" spans="1:117" ht="18.75" customHeight="1">
      <c r="A119" s="59">
        <v>117</v>
      </c>
      <c r="B119" s="59" t="s">
        <v>19</v>
      </c>
      <c r="C119" s="59"/>
      <c r="D119" s="51" t="s">
        <v>445</v>
      </c>
      <c r="E119" s="51"/>
      <c r="F119" s="51"/>
      <c r="G119" s="50"/>
      <c r="H119" s="80"/>
      <c r="I119" s="52"/>
      <c r="J119" s="141"/>
      <c r="K119" s="141"/>
      <c r="L119" s="52"/>
      <c r="M119" s="89"/>
      <c r="N119" s="89"/>
      <c r="O119" s="52"/>
      <c r="P119" s="8"/>
      <c r="Q119" s="8">
        <f t="shared" si="5"/>
        <v>0</v>
      </c>
      <c r="R119" s="8">
        <f t="shared" si="6"/>
        <v>0</v>
      </c>
      <c r="S119" s="29">
        <f t="shared" si="4"/>
        <v>0</v>
      </c>
      <c r="T119" s="29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163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9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</row>
    <row r="120" spans="1:117" ht="18.75" customHeight="1">
      <c r="A120" s="59">
        <v>118</v>
      </c>
      <c r="B120" s="59" t="s">
        <v>19</v>
      </c>
      <c r="C120" s="59"/>
      <c r="D120" s="51" t="s">
        <v>446</v>
      </c>
      <c r="E120" s="51"/>
      <c r="F120" s="51"/>
      <c r="G120" s="50"/>
      <c r="H120" s="80"/>
      <c r="I120" s="52"/>
      <c r="J120" s="141"/>
      <c r="K120" s="141"/>
      <c r="L120" s="52"/>
      <c r="M120" s="89"/>
      <c r="N120" s="89"/>
      <c r="O120" s="52"/>
      <c r="P120" s="8"/>
      <c r="Q120" s="8">
        <f t="shared" si="5"/>
        <v>0</v>
      </c>
      <c r="R120" s="8">
        <f t="shared" si="6"/>
        <v>0</v>
      </c>
      <c r="S120" s="29">
        <f t="shared" si="4"/>
        <v>0</v>
      </c>
      <c r="T120" s="29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163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9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</row>
    <row r="121" spans="1:117" ht="18.75" customHeight="1">
      <c r="A121" s="59">
        <v>119</v>
      </c>
      <c r="B121" s="59" t="s">
        <v>19</v>
      </c>
      <c r="C121" s="59"/>
      <c r="D121" s="51" t="s">
        <v>103</v>
      </c>
      <c r="E121" s="51"/>
      <c r="F121" s="51"/>
      <c r="G121" s="50"/>
      <c r="H121" s="80"/>
      <c r="I121" s="52"/>
      <c r="J121" s="141"/>
      <c r="K121" s="141"/>
      <c r="L121" s="52"/>
      <c r="M121" s="89"/>
      <c r="N121" s="89"/>
      <c r="O121" s="52"/>
      <c r="P121" s="8"/>
      <c r="Q121" s="8">
        <f t="shared" si="5"/>
        <v>0</v>
      </c>
      <c r="R121" s="8">
        <f t="shared" si="6"/>
        <v>0</v>
      </c>
      <c r="S121" s="29">
        <f t="shared" si="4"/>
        <v>0</v>
      </c>
      <c r="T121" s="29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163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9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</row>
    <row r="122" spans="1:117" ht="18.75" customHeight="1">
      <c r="A122" s="59">
        <v>120</v>
      </c>
      <c r="B122" s="59" t="s">
        <v>19</v>
      </c>
      <c r="C122" s="59"/>
      <c r="D122" s="51" t="s">
        <v>214</v>
      </c>
      <c r="E122" s="51"/>
      <c r="F122" s="51"/>
      <c r="G122" s="50"/>
      <c r="H122" s="80"/>
      <c r="I122" s="52"/>
      <c r="J122" s="141"/>
      <c r="K122" s="141"/>
      <c r="L122" s="52"/>
      <c r="M122" s="89"/>
      <c r="N122" s="89"/>
      <c r="O122" s="52"/>
      <c r="P122" s="8"/>
      <c r="Q122" s="8">
        <f t="shared" si="5"/>
        <v>0</v>
      </c>
      <c r="R122" s="8">
        <f t="shared" si="6"/>
        <v>0</v>
      </c>
      <c r="S122" s="29">
        <f t="shared" si="4"/>
        <v>0</v>
      </c>
      <c r="T122" s="29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163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9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</row>
    <row r="123" spans="1:117" ht="18.75" customHeight="1">
      <c r="A123" s="59">
        <v>121</v>
      </c>
      <c r="B123" s="59" t="s">
        <v>19</v>
      </c>
      <c r="C123" s="59"/>
      <c r="D123" s="51" t="s">
        <v>406</v>
      </c>
      <c r="E123" s="51"/>
      <c r="F123" s="51"/>
      <c r="G123" s="50"/>
      <c r="H123" s="80"/>
      <c r="I123" s="52"/>
      <c r="J123" s="141"/>
      <c r="K123" s="141"/>
      <c r="L123" s="52"/>
      <c r="M123" s="89"/>
      <c r="N123" s="89"/>
      <c r="O123" s="52"/>
      <c r="P123" s="8"/>
      <c r="Q123" s="8">
        <f t="shared" si="5"/>
        <v>0</v>
      </c>
      <c r="R123" s="8">
        <f t="shared" si="6"/>
        <v>0</v>
      </c>
      <c r="S123" s="29">
        <f t="shared" si="4"/>
        <v>0</v>
      </c>
      <c r="T123" s="29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163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9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</row>
    <row r="124" spans="1:117" ht="18.75" customHeight="1">
      <c r="A124" s="59">
        <v>122</v>
      </c>
      <c r="B124" s="59" t="s">
        <v>19</v>
      </c>
      <c r="C124" s="59"/>
      <c r="D124" s="51" t="s">
        <v>212</v>
      </c>
      <c r="E124" s="51"/>
      <c r="F124" s="51"/>
      <c r="G124" s="50"/>
      <c r="H124" s="80"/>
      <c r="I124" s="52"/>
      <c r="J124" s="141"/>
      <c r="K124" s="141"/>
      <c r="L124" s="52"/>
      <c r="M124" s="89"/>
      <c r="N124" s="89"/>
      <c r="O124" s="52"/>
      <c r="P124" s="8"/>
      <c r="Q124" s="8">
        <f t="shared" si="5"/>
        <v>0</v>
      </c>
      <c r="R124" s="8">
        <f t="shared" si="6"/>
        <v>0</v>
      </c>
      <c r="S124" s="29">
        <f t="shared" si="4"/>
        <v>0</v>
      </c>
      <c r="T124" s="29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163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9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</row>
    <row r="125" spans="1:117" ht="18.75" customHeight="1">
      <c r="A125" s="59">
        <v>123</v>
      </c>
      <c r="B125" s="59" t="s">
        <v>19</v>
      </c>
      <c r="C125" s="59"/>
      <c r="D125" s="51" t="s">
        <v>391</v>
      </c>
      <c r="E125" s="51"/>
      <c r="F125" s="51"/>
      <c r="G125" s="50"/>
      <c r="H125" s="80"/>
      <c r="I125" s="52"/>
      <c r="J125" s="141"/>
      <c r="K125" s="141"/>
      <c r="L125" s="52"/>
      <c r="M125" s="89"/>
      <c r="N125" s="89"/>
      <c r="O125" s="52"/>
      <c r="P125" s="8"/>
      <c r="Q125" s="8">
        <f t="shared" si="5"/>
        <v>0</v>
      </c>
      <c r="R125" s="8">
        <f t="shared" si="6"/>
        <v>0</v>
      </c>
      <c r="S125" s="29">
        <f t="shared" si="4"/>
        <v>0</v>
      </c>
      <c r="T125" s="2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163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9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</row>
    <row r="126" spans="1:117" ht="18.75" customHeight="1">
      <c r="A126" s="59">
        <v>124</v>
      </c>
      <c r="B126" s="59" t="s">
        <v>19</v>
      </c>
      <c r="C126" s="59"/>
      <c r="D126" s="51" t="s">
        <v>213</v>
      </c>
      <c r="E126" s="51"/>
      <c r="F126" s="51"/>
      <c r="G126" s="50"/>
      <c r="H126" s="80"/>
      <c r="I126" s="52"/>
      <c r="J126" s="141"/>
      <c r="K126" s="141"/>
      <c r="L126" s="52"/>
      <c r="M126" s="89"/>
      <c r="N126" s="89"/>
      <c r="O126" s="52"/>
      <c r="P126" s="8"/>
      <c r="Q126" s="8">
        <f t="shared" si="5"/>
        <v>0</v>
      </c>
      <c r="R126" s="8">
        <f t="shared" si="6"/>
        <v>0</v>
      </c>
      <c r="S126" s="29">
        <f t="shared" si="4"/>
        <v>0</v>
      </c>
      <c r="T126" s="29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163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9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</row>
    <row r="127" spans="1:117" ht="18.75" customHeight="1">
      <c r="A127" s="59">
        <v>125</v>
      </c>
      <c r="B127" s="59" t="s">
        <v>19</v>
      </c>
      <c r="C127" s="59"/>
      <c r="D127" s="51" t="s">
        <v>420</v>
      </c>
      <c r="E127" s="51"/>
      <c r="F127" s="51"/>
      <c r="G127" s="50"/>
      <c r="H127" s="80"/>
      <c r="I127" s="52"/>
      <c r="J127" s="141"/>
      <c r="K127" s="141"/>
      <c r="L127" s="52"/>
      <c r="M127" s="89"/>
      <c r="N127" s="89"/>
      <c r="O127" s="52"/>
      <c r="P127" s="8"/>
      <c r="Q127" s="8">
        <f t="shared" si="5"/>
        <v>0</v>
      </c>
      <c r="R127" s="8">
        <f t="shared" si="6"/>
        <v>0</v>
      </c>
      <c r="S127" s="29">
        <f t="shared" si="4"/>
        <v>0</v>
      </c>
      <c r="T127" s="29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163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9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</row>
    <row r="128" spans="1:117" ht="18.75" customHeight="1">
      <c r="A128" s="59">
        <v>126</v>
      </c>
      <c r="B128" s="59" t="s">
        <v>19</v>
      </c>
      <c r="C128" s="59"/>
      <c r="D128" s="51" t="s">
        <v>574</v>
      </c>
      <c r="E128" s="51"/>
      <c r="F128" s="51"/>
      <c r="G128" s="50"/>
      <c r="H128" s="80"/>
      <c r="I128" s="52"/>
      <c r="J128" s="141"/>
      <c r="K128" s="141"/>
      <c r="L128" s="52"/>
      <c r="M128" s="89"/>
      <c r="N128" s="89"/>
      <c r="O128" s="52"/>
      <c r="P128" s="8"/>
      <c r="Q128" s="8">
        <f t="shared" si="5"/>
        <v>0</v>
      </c>
      <c r="R128" s="8">
        <f t="shared" si="6"/>
        <v>0</v>
      </c>
      <c r="S128" s="29">
        <f t="shared" si="4"/>
        <v>0</v>
      </c>
      <c r="T128" s="2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163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9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</row>
    <row r="129" spans="1:117" ht="18.75" customHeight="1">
      <c r="A129" s="59">
        <v>127</v>
      </c>
      <c r="B129" s="59" t="s">
        <v>19</v>
      </c>
      <c r="C129" s="59"/>
      <c r="D129" s="51" t="s">
        <v>368</v>
      </c>
      <c r="E129" s="51"/>
      <c r="F129" s="51"/>
      <c r="G129" s="50"/>
      <c r="H129" s="80"/>
      <c r="I129" s="52"/>
      <c r="J129" s="141"/>
      <c r="K129" s="141"/>
      <c r="L129" s="52"/>
      <c r="M129" s="89"/>
      <c r="N129" s="89"/>
      <c r="O129" s="52"/>
      <c r="P129" s="8"/>
      <c r="Q129" s="8">
        <f t="shared" si="5"/>
        <v>0</v>
      </c>
      <c r="R129" s="8">
        <f t="shared" si="6"/>
        <v>0</v>
      </c>
      <c r="S129" s="29">
        <f t="shared" si="4"/>
        <v>0</v>
      </c>
      <c r="T129" s="29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163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9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</row>
    <row r="130" spans="1:117" ht="18.75" customHeight="1">
      <c r="A130" s="59">
        <v>128</v>
      </c>
      <c r="B130" s="59" t="s">
        <v>19</v>
      </c>
      <c r="C130" s="59"/>
      <c r="D130" s="51" t="s">
        <v>281</v>
      </c>
      <c r="E130" s="51"/>
      <c r="F130" s="51"/>
      <c r="G130" s="50"/>
      <c r="H130" s="80"/>
      <c r="I130" s="52"/>
      <c r="J130" s="141"/>
      <c r="K130" s="141"/>
      <c r="L130" s="52"/>
      <c r="M130" s="89"/>
      <c r="N130" s="89"/>
      <c r="O130" s="52"/>
      <c r="P130" s="8"/>
      <c r="Q130" s="8">
        <f t="shared" si="5"/>
        <v>0</v>
      </c>
      <c r="R130" s="8">
        <f t="shared" si="6"/>
        <v>0</v>
      </c>
      <c r="S130" s="29">
        <f t="shared" si="4"/>
        <v>0</v>
      </c>
      <c r="T130" s="2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163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9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</row>
    <row r="131" spans="1:117" ht="18.75" customHeight="1">
      <c r="A131" s="59">
        <v>129</v>
      </c>
      <c r="B131" s="59" t="s">
        <v>19</v>
      </c>
      <c r="C131" s="59"/>
      <c r="D131" s="51" t="s">
        <v>421</v>
      </c>
      <c r="E131" s="51"/>
      <c r="F131" s="51"/>
      <c r="G131" s="50"/>
      <c r="H131" s="80"/>
      <c r="I131" s="52"/>
      <c r="J131" s="141"/>
      <c r="K131" s="141"/>
      <c r="L131" s="52"/>
      <c r="M131" s="89"/>
      <c r="N131" s="89"/>
      <c r="O131" s="52"/>
      <c r="P131" s="8"/>
      <c r="Q131" s="8">
        <f t="shared" si="5"/>
        <v>0</v>
      </c>
      <c r="R131" s="8">
        <f t="shared" si="6"/>
        <v>0</v>
      </c>
      <c r="S131" s="29">
        <f t="shared" ref="S131:S163" si="7">Q131-R131</f>
        <v>0</v>
      </c>
      <c r="T131" s="29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163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9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</row>
    <row r="132" spans="1:117" ht="18.75" customHeight="1">
      <c r="A132" s="59">
        <v>130</v>
      </c>
      <c r="B132" s="59" t="s">
        <v>19</v>
      </c>
      <c r="C132" s="59"/>
      <c r="D132" s="51" t="s">
        <v>504</v>
      </c>
      <c r="E132" s="51"/>
      <c r="F132" s="51"/>
      <c r="G132" s="50"/>
      <c r="H132" s="80"/>
      <c r="I132" s="52"/>
      <c r="J132" s="141"/>
      <c r="K132" s="141"/>
      <c r="L132" s="52"/>
      <c r="M132" s="89"/>
      <c r="N132" s="89"/>
      <c r="O132" s="52"/>
      <c r="P132" s="8"/>
      <c r="Q132" s="8">
        <f t="shared" ref="Q132:Q163" si="8">SUM(G132,J132,M132,P132)</f>
        <v>0</v>
      </c>
      <c r="R132" s="8">
        <f t="shared" si="6"/>
        <v>0</v>
      </c>
      <c r="S132" s="29">
        <f t="shared" si="7"/>
        <v>0</v>
      </c>
      <c r="T132" s="29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163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9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</row>
    <row r="133" spans="1:117" ht="18.75" customHeight="1">
      <c r="A133" s="59">
        <v>131</v>
      </c>
      <c r="B133" s="59" t="s">
        <v>19</v>
      </c>
      <c r="C133" s="59"/>
      <c r="D133" s="51" t="s">
        <v>505</v>
      </c>
      <c r="E133" s="51"/>
      <c r="F133" s="51"/>
      <c r="G133" s="50"/>
      <c r="H133" s="80"/>
      <c r="I133" s="52"/>
      <c r="J133" s="141"/>
      <c r="K133" s="141"/>
      <c r="L133" s="52"/>
      <c r="M133" s="89"/>
      <c r="N133" s="89"/>
      <c r="O133" s="52"/>
      <c r="P133" s="8"/>
      <c r="Q133" s="8">
        <f t="shared" si="8"/>
        <v>0</v>
      </c>
      <c r="R133" s="8">
        <f t="shared" si="6"/>
        <v>0</v>
      </c>
      <c r="S133" s="29">
        <f t="shared" si="7"/>
        <v>0</v>
      </c>
      <c r="T133" s="29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163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9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</row>
    <row r="134" spans="1:117" ht="18.75" customHeight="1">
      <c r="A134" s="59">
        <v>132</v>
      </c>
      <c r="B134" s="59" t="s">
        <v>19</v>
      </c>
      <c r="C134" s="59"/>
      <c r="D134" s="51" t="s">
        <v>376</v>
      </c>
      <c r="E134" s="51"/>
      <c r="F134" s="51"/>
      <c r="G134" s="50"/>
      <c r="H134" s="80"/>
      <c r="I134" s="52"/>
      <c r="J134" s="141"/>
      <c r="K134" s="141"/>
      <c r="L134" s="52"/>
      <c r="M134" s="89"/>
      <c r="N134" s="89"/>
      <c r="O134" s="52"/>
      <c r="P134" s="8"/>
      <c r="Q134" s="8">
        <f t="shared" si="8"/>
        <v>0</v>
      </c>
      <c r="R134" s="8">
        <f t="shared" si="6"/>
        <v>0</v>
      </c>
      <c r="S134" s="29">
        <f t="shared" si="7"/>
        <v>0</v>
      </c>
      <c r="T134" s="29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163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9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</row>
    <row r="135" spans="1:117" ht="18.75" customHeight="1">
      <c r="A135" s="59">
        <v>133</v>
      </c>
      <c r="B135" s="59" t="s">
        <v>19</v>
      </c>
      <c r="C135" s="59"/>
      <c r="D135" s="51" t="s">
        <v>207</v>
      </c>
      <c r="E135" s="51"/>
      <c r="F135" s="51"/>
      <c r="G135" s="50"/>
      <c r="H135" s="80"/>
      <c r="I135" s="52"/>
      <c r="J135" s="141"/>
      <c r="K135" s="141"/>
      <c r="L135" s="52"/>
      <c r="M135" s="89"/>
      <c r="N135" s="89"/>
      <c r="O135" s="52"/>
      <c r="P135" s="8"/>
      <c r="Q135" s="8">
        <f t="shared" si="8"/>
        <v>0</v>
      </c>
      <c r="R135" s="8">
        <f t="shared" si="6"/>
        <v>0</v>
      </c>
      <c r="S135" s="29">
        <f t="shared" si="7"/>
        <v>0</v>
      </c>
      <c r="T135" s="29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163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9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</row>
    <row r="136" spans="1:117" ht="18.75" customHeight="1">
      <c r="A136" s="59">
        <v>134</v>
      </c>
      <c r="B136" s="59" t="s">
        <v>19</v>
      </c>
      <c r="C136" s="59"/>
      <c r="D136" s="51" t="s">
        <v>506</v>
      </c>
      <c r="E136" s="51"/>
      <c r="F136" s="51"/>
      <c r="G136" s="50"/>
      <c r="H136" s="80"/>
      <c r="I136" s="52"/>
      <c r="J136" s="141"/>
      <c r="K136" s="141"/>
      <c r="L136" s="52"/>
      <c r="M136" s="89"/>
      <c r="N136" s="89"/>
      <c r="O136" s="52"/>
      <c r="P136" s="8"/>
      <c r="Q136" s="8">
        <f t="shared" si="8"/>
        <v>0</v>
      </c>
      <c r="R136" s="8">
        <f t="shared" si="6"/>
        <v>0</v>
      </c>
      <c r="S136" s="29">
        <f t="shared" si="7"/>
        <v>0</v>
      </c>
      <c r="T136" s="29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163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9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</row>
    <row r="137" spans="1:117" ht="18.75" customHeight="1">
      <c r="A137" s="59">
        <v>135</v>
      </c>
      <c r="B137" s="59" t="s">
        <v>19</v>
      </c>
      <c r="C137" s="59"/>
      <c r="D137" s="51" t="s">
        <v>396</v>
      </c>
      <c r="E137" s="51"/>
      <c r="F137" s="51"/>
      <c r="G137" s="50"/>
      <c r="H137" s="80"/>
      <c r="I137" s="52"/>
      <c r="J137" s="141"/>
      <c r="K137" s="141"/>
      <c r="L137" s="52"/>
      <c r="M137" s="89"/>
      <c r="N137" s="89"/>
      <c r="O137" s="52"/>
      <c r="P137" s="8"/>
      <c r="Q137" s="8">
        <f t="shared" si="8"/>
        <v>0</v>
      </c>
      <c r="R137" s="8">
        <f t="shared" si="6"/>
        <v>0</v>
      </c>
      <c r="S137" s="29">
        <f t="shared" si="7"/>
        <v>0</v>
      </c>
      <c r="T137" s="2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163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9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</row>
    <row r="138" spans="1:117" ht="18.75" customHeight="1">
      <c r="A138" s="59">
        <v>136</v>
      </c>
      <c r="B138" s="59" t="s">
        <v>19</v>
      </c>
      <c r="C138" s="59"/>
      <c r="D138" s="51" t="s">
        <v>66</v>
      </c>
      <c r="E138" s="51"/>
      <c r="F138" s="51"/>
      <c r="G138" s="50"/>
      <c r="H138" s="80"/>
      <c r="I138" s="52"/>
      <c r="J138" s="141"/>
      <c r="K138" s="141"/>
      <c r="L138" s="52"/>
      <c r="M138" s="89"/>
      <c r="N138" s="89"/>
      <c r="O138" s="52"/>
      <c r="P138" s="8"/>
      <c r="Q138" s="8">
        <f t="shared" si="8"/>
        <v>0</v>
      </c>
      <c r="R138" s="8">
        <f t="shared" si="6"/>
        <v>0</v>
      </c>
      <c r="S138" s="29">
        <f t="shared" si="7"/>
        <v>0</v>
      </c>
      <c r="T138" s="29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163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9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</row>
    <row r="139" spans="1:117" ht="18.75" customHeight="1">
      <c r="A139" s="59">
        <v>137</v>
      </c>
      <c r="B139" s="52" t="s">
        <v>19</v>
      </c>
      <c r="C139" s="52"/>
      <c r="D139" s="51" t="s">
        <v>93</v>
      </c>
      <c r="E139" s="51"/>
      <c r="F139" s="51"/>
      <c r="G139" s="50"/>
      <c r="H139" s="80"/>
      <c r="I139" s="52"/>
      <c r="J139" s="141"/>
      <c r="K139" s="141"/>
      <c r="L139" s="52"/>
      <c r="M139" s="89"/>
      <c r="N139" s="89"/>
      <c r="O139" s="52"/>
      <c r="P139" s="8"/>
      <c r="Q139" s="8">
        <f t="shared" si="8"/>
        <v>0</v>
      </c>
      <c r="R139" s="8">
        <f t="shared" si="6"/>
        <v>0</v>
      </c>
      <c r="S139" s="29">
        <f t="shared" si="7"/>
        <v>0</v>
      </c>
      <c r="T139" s="2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163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9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</row>
    <row r="140" spans="1:117" ht="18.75" customHeight="1">
      <c r="A140" s="59">
        <v>138</v>
      </c>
      <c r="B140" s="59" t="s">
        <v>19</v>
      </c>
      <c r="C140" s="59"/>
      <c r="D140" s="51" t="s">
        <v>374</v>
      </c>
      <c r="E140" s="51"/>
      <c r="F140" s="51"/>
      <c r="G140" s="50"/>
      <c r="H140" s="80"/>
      <c r="I140" s="52"/>
      <c r="J140" s="141"/>
      <c r="K140" s="141"/>
      <c r="L140" s="52"/>
      <c r="M140" s="89"/>
      <c r="N140" s="89"/>
      <c r="O140" s="52"/>
      <c r="P140" s="8"/>
      <c r="Q140" s="8">
        <f t="shared" si="8"/>
        <v>0</v>
      </c>
      <c r="R140" s="8">
        <f t="shared" si="6"/>
        <v>0</v>
      </c>
      <c r="S140" s="29">
        <f t="shared" si="7"/>
        <v>0</v>
      </c>
      <c r="T140" s="2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163"/>
      <c r="BE140" s="31"/>
      <c r="BF140" s="31"/>
      <c r="BG140" s="31"/>
      <c r="BH140" s="31"/>
      <c r="BI140" s="31"/>
      <c r="BJ140" s="31"/>
      <c r="BK140" s="31"/>
      <c r="BL140" s="28"/>
      <c r="BM140" s="28"/>
      <c r="BN140" s="28"/>
      <c r="BO140" s="28"/>
      <c r="BP140" s="28"/>
      <c r="BQ140" s="28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9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</row>
    <row r="141" spans="1:117" ht="18.75" customHeight="1">
      <c r="A141" s="59">
        <v>139</v>
      </c>
      <c r="B141" s="59" t="s">
        <v>19</v>
      </c>
      <c r="C141" s="59"/>
      <c r="D141" s="51" t="s">
        <v>102</v>
      </c>
      <c r="E141" s="51"/>
      <c r="F141" s="51"/>
      <c r="G141" s="50"/>
      <c r="H141" s="80"/>
      <c r="I141" s="52"/>
      <c r="J141" s="141"/>
      <c r="K141" s="141"/>
      <c r="L141" s="52"/>
      <c r="M141" s="89"/>
      <c r="N141" s="89"/>
      <c r="O141" s="52"/>
      <c r="P141" s="8"/>
      <c r="Q141" s="8">
        <f t="shared" si="8"/>
        <v>0</v>
      </c>
      <c r="R141" s="8">
        <f t="shared" si="6"/>
        <v>0</v>
      </c>
      <c r="S141" s="29">
        <f t="shared" si="7"/>
        <v>0</v>
      </c>
      <c r="T141" s="29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163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9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</row>
    <row r="142" spans="1:117" ht="18.75" customHeight="1">
      <c r="A142" s="59">
        <v>140</v>
      </c>
      <c r="B142" s="59" t="s">
        <v>19</v>
      </c>
      <c r="C142" s="59"/>
      <c r="D142" s="51" t="s">
        <v>584</v>
      </c>
      <c r="E142" s="51"/>
      <c r="F142" s="51"/>
      <c r="G142" s="50"/>
      <c r="H142" s="80"/>
      <c r="I142" s="52"/>
      <c r="J142" s="141"/>
      <c r="K142" s="141"/>
      <c r="L142" s="52"/>
      <c r="M142" s="89"/>
      <c r="N142" s="89"/>
      <c r="O142" s="52"/>
      <c r="P142" s="8"/>
      <c r="Q142" s="8">
        <f t="shared" si="8"/>
        <v>0</v>
      </c>
      <c r="R142" s="8">
        <f t="shared" si="6"/>
        <v>0</v>
      </c>
      <c r="S142" s="29">
        <f t="shared" si="7"/>
        <v>0</v>
      </c>
      <c r="T142" s="29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163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9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</row>
    <row r="143" spans="1:117" ht="18.75" customHeight="1">
      <c r="A143" s="59">
        <v>141</v>
      </c>
      <c r="B143" s="59" t="s">
        <v>19</v>
      </c>
      <c r="C143" s="59"/>
      <c r="D143" s="51" t="s">
        <v>388</v>
      </c>
      <c r="E143" s="51"/>
      <c r="F143" s="51"/>
      <c r="G143" s="50"/>
      <c r="H143" s="80"/>
      <c r="I143" s="52"/>
      <c r="J143" s="141"/>
      <c r="K143" s="141"/>
      <c r="L143" s="52"/>
      <c r="M143" s="89"/>
      <c r="N143" s="89"/>
      <c r="O143" s="52"/>
      <c r="P143" s="8"/>
      <c r="Q143" s="8">
        <f t="shared" si="8"/>
        <v>0</v>
      </c>
      <c r="R143" s="8">
        <f t="shared" si="6"/>
        <v>0</v>
      </c>
      <c r="S143" s="29">
        <f t="shared" si="7"/>
        <v>0</v>
      </c>
      <c r="T143" s="2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163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9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</row>
    <row r="144" spans="1:117" ht="18.75" customHeight="1">
      <c r="A144" s="59">
        <v>142</v>
      </c>
      <c r="B144" s="59" t="s">
        <v>19</v>
      </c>
      <c r="C144" s="59"/>
      <c r="D144" s="51" t="s">
        <v>85</v>
      </c>
      <c r="E144" s="51"/>
      <c r="F144" s="51"/>
      <c r="G144" s="50"/>
      <c r="H144" s="80"/>
      <c r="I144" s="52"/>
      <c r="J144" s="141"/>
      <c r="K144" s="141"/>
      <c r="L144" s="52"/>
      <c r="M144" s="89"/>
      <c r="N144" s="89"/>
      <c r="O144" s="52"/>
      <c r="P144" s="8"/>
      <c r="Q144" s="8">
        <f t="shared" si="8"/>
        <v>0</v>
      </c>
      <c r="R144" s="8">
        <f t="shared" si="6"/>
        <v>0</v>
      </c>
      <c r="S144" s="29">
        <f t="shared" si="7"/>
        <v>0</v>
      </c>
      <c r="T144" s="29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163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9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</row>
    <row r="145" spans="1:117" ht="18.75" customHeight="1">
      <c r="A145" s="59">
        <v>143</v>
      </c>
      <c r="B145" s="59" t="s">
        <v>19</v>
      </c>
      <c r="C145" s="59"/>
      <c r="D145" s="51" t="s">
        <v>549</v>
      </c>
      <c r="E145" s="51"/>
      <c r="F145" s="51"/>
      <c r="G145" s="50"/>
      <c r="H145" s="80"/>
      <c r="I145" s="52"/>
      <c r="J145" s="141"/>
      <c r="K145" s="141"/>
      <c r="L145" s="52"/>
      <c r="M145" s="89"/>
      <c r="N145" s="89"/>
      <c r="O145" s="52"/>
      <c r="P145" s="8"/>
      <c r="Q145" s="8">
        <f t="shared" si="8"/>
        <v>0</v>
      </c>
      <c r="R145" s="8">
        <f t="shared" si="6"/>
        <v>0</v>
      </c>
      <c r="S145" s="29">
        <f t="shared" si="7"/>
        <v>0</v>
      </c>
      <c r="T145" s="29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163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9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</row>
    <row r="146" spans="1:117" ht="18.75" customHeight="1">
      <c r="A146" s="59">
        <v>144</v>
      </c>
      <c r="B146" s="59" t="s">
        <v>19</v>
      </c>
      <c r="C146" s="59"/>
      <c r="D146" s="51" t="s">
        <v>554</v>
      </c>
      <c r="E146" s="51"/>
      <c r="F146" s="51"/>
      <c r="G146" s="50"/>
      <c r="H146" s="80"/>
      <c r="I146" s="52"/>
      <c r="J146" s="141"/>
      <c r="K146" s="141"/>
      <c r="L146" s="52"/>
      <c r="M146" s="89"/>
      <c r="N146" s="89"/>
      <c r="O146" s="52"/>
      <c r="P146" s="8"/>
      <c r="Q146" s="8">
        <f t="shared" si="8"/>
        <v>0</v>
      </c>
      <c r="R146" s="8">
        <f t="shared" si="6"/>
        <v>0</v>
      </c>
      <c r="S146" s="29">
        <f t="shared" si="7"/>
        <v>0</v>
      </c>
      <c r="T146" s="2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163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9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</row>
    <row r="147" spans="1:117" ht="18.75" customHeight="1">
      <c r="A147" s="59">
        <v>145</v>
      </c>
      <c r="B147" s="59" t="s">
        <v>19</v>
      </c>
      <c r="C147" s="59"/>
      <c r="D147" s="51" t="s">
        <v>369</v>
      </c>
      <c r="E147" s="51"/>
      <c r="F147" s="51"/>
      <c r="G147" s="50"/>
      <c r="H147" s="80"/>
      <c r="I147" s="52"/>
      <c r="J147" s="141"/>
      <c r="K147" s="141"/>
      <c r="L147" s="52"/>
      <c r="M147" s="89"/>
      <c r="N147" s="89"/>
      <c r="O147" s="52"/>
      <c r="P147" s="8"/>
      <c r="Q147" s="8">
        <f t="shared" si="8"/>
        <v>0</v>
      </c>
      <c r="R147" s="8">
        <f t="shared" si="6"/>
        <v>0</v>
      </c>
      <c r="S147" s="29">
        <f t="shared" si="7"/>
        <v>0</v>
      </c>
      <c r="T147" s="29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163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9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</row>
    <row r="148" spans="1:117" ht="18.75" customHeight="1">
      <c r="A148" s="59">
        <v>146</v>
      </c>
      <c r="B148" s="59" t="s">
        <v>19</v>
      </c>
      <c r="C148" s="59"/>
      <c r="D148" s="51" t="s">
        <v>302</v>
      </c>
      <c r="E148" s="51"/>
      <c r="F148" s="51"/>
      <c r="G148" s="50"/>
      <c r="H148" s="80"/>
      <c r="I148" s="52"/>
      <c r="J148" s="141"/>
      <c r="K148" s="141"/>
      <c r="L148" s="52"/>
      <c r="M148" s="89"/>
      <c r="N148" s="89"/>
      <c r="O148" s="52"/>
      <c r="P148" s="30"/>
      <c r="Q148" s="8">
        <f t="shared" si="8"/>
        <v>0</v>
      </c>
      <c r="R148" s="8">
        <f t="shared" si="6"/>
        <v>0</v>
      </c>
      <c r="S148" s="29">
        <f t="shared" si="7"/>
        <v>0</v>
      </c>
      <c r="T148" s="2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163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9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</row>
    <row r="149" spans="1:117" ht="18.75" customHeight="1">
      <c r="A149" s="59">
        <v>147</v>
      </c>
      <c r="B149" s="59" t="s">
        <v>19</v>
      </c>
      <c r="C149" s="59"/>
      <c r="D149" s="51" t="s">
        <v>613</v>
      </c>
      <c r="E149" s="51"/>
      <c r="F149" s="51"/>
      <c r="G149" s="50"/>
      <c r="H149" s="80"/>
      <c r="I149" s="52"/>
      <c r="J149" s="141"/>
      <c r="K149" s="141"/>
      <c r="L149" s="52"/>
      <c r="M149" s="89"/>
      <c r="N149" s="89"/>
      <c r="O149" s="52"/>
      <c r="P149" s="30"/>
      <c r="Q149" s="8">
        <f t="shared" si="8"/>
        <v>0</v>
      </c>
      <c r="R149" s="8">
        <f t="shared" si="6"/>
        <v>0</v>
      </c>
      <c r="S149" s="29">
        <f t="shared" si="7"/>
        <v>0</v>
      </c>
      <c r="T149" s="29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163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9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</row>
    <row r="150" spans="1:117" ht="18.75" customHeight="1">
      <c r="A150" s="59">
        <v>148</v>
      </c>
      <c r="B150" s="59" t="s">
        <v>19</v>
      </c>
      <c r="C150" s="59"/>
      <c r="D150" s="51" t="s">
        <v>605</v>
      </c>
      <c r="E150" s="51"/>
      <c r="F150" s="51"/>
      <c r="G150" s="50"/>
      <c r="H150" s="80"/>
      <c r="I150" s="52"/>
      <c r="J150" s="141"/>
      <c r="K150" s="141"/>
      <c r="L150" s="52"/>
      <c r="M150" s="89"/>
      <c r="N150" s="89"/>
      <c r="O150" s="52"/>
      <c r="P150" s="30"/>
      <c r="Q150" s="8">
        <f t="shared" si="8"/>
        <v>0</v>
      </c>
      <c r="R150" s="8">
        <f t="shared" ref="R150:R163" si="9">SUM(T150:DM150)</f>
        <v>0</v>
      </c>
      <c r="S150" s="29">
        <f t="shared" si="7"/>
        <v>0</v>
      </c>
      <c r="T150" s="2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163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9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</row>
    <row r="151" spans="1:117" ht="18.75" customHeight="1">
      <c r="A151" s="59">
        <v>149</v>
      </c>
      <c r="B151" s="59" t="s">
        <v>19</v>
      </c>
      <c r="C151" s="59"/>
      <c r="D151" s="51" t="s">
        <v>380</v>
      </c>
      <c r="E151" s="51"/>
      <c r="F151" s="51"/>
      <c r="G151" s="50"/>
      <c r="H151" s="80"/>
      <c r="I151" s="52"/>
      <c r="J151" s="141"/>
      <c r="K151" s="141"/>
      <c r="L151" s="52"/>
      <c r="M151" s="89"/>
      <c r="N151" s="89"/>
      <c r="O151" s="52"/>
      <c r="P151" s="30"/>
      <c r="Q151" s="8">
        <f t="shared" si="8"/>
        <v>0</v>
      </c>
      <c r="R151" s="8">
        <f t="shared" si="9"/>
        <v>0</v>
      </c>
      <c r="S151" s="29">
        <f t="shared" si="7"/>
        <v>0</v>
      </c>
      <c r="T151" s="2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163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9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</row>
    <row r="152" spans="1:117" ht="18.75" customHeight="1">
      <c r="A152" s="59">
        <v>150</v>
      </c>
      <c r="B152" s="59" t="s">
        <v>19</v>
      </c>
      <c r="C152" s="59"/>
      <c r="D152" s="51" t="s">
        <v>621</v>
      </c>
      <c r="E152" s="51"/>
      <c r="F152" s="51"/>
      <c r="G152" s="50"/>
      <c r="H152" s="80"/>
      <c r="I152" s="52"/>
      <c r="J152" s="141"/>
      <c r="K152" s="141"/>
      <c r="L152" s="52"/>
      <c r="M152" s="89"/>
      <c r="N152" s="89"/>
      <c r="O152" s="52"/>
      <c r="P152" s="8"/>
      <c r="Q152" s="8">
        <f t="shared" si="8"/>
        <v>0</v>
      </c>
      <c r="R152" s="8">
        <f t="shared" si="9"/>
        <v>0</v>
      </c>
      <c r="S152" s="29">
        <f t="shared" si="7"/>
        <v>0</v>
      </c>
      <c r="T152" s="29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163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9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</row>
    <row r="153" spans="1:117" ht="18.75" customHeight="1">
      <c r="A153" s="59">
        <v>151</v>
      </c>
      <c r="B153" s="59" t="s">
        <v>19</v>
      </c>
      <c r="C153" s="59"/>
      <c r="D153" s="51" t="s">
        <v>620</v>
      </c>
      <c r="E153" s="51"/>
      <c r="F153" s="51"/>
      <c r="G153" s="50"/>
      <c r="H153" s="80"/>
      <c r="I153" s="52"/>
      <c r="J153" s="141"/>
      <c r="K153" s="141"/>
      <c r="L153" s="52"/>
      <c r="M153" s="89"/>
      <c r="N153" s="89"/>
      <c r="O153" s="52"/>
      <c r="P153" s="8"/>
      <c r="Q153" s="8">
        <f t="shared" si="8"/>
        <v>0</v>
      </c>
      <c r="R153" s="8">
        <f t="shared" si="9"/>
        <v>0</v>
      </c>
      <c r="S153" s="29">
        <f t="shared" si="7"/>
        <v>0</v>
      </c>
      <c r="T153" s="29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163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9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</row>
    <row r="154" spans="1:117" ht="18.75" customHeight="1">
      <c r="A154" s="59">
        <v>152</v>
      </c>
      <c r="B154" s="59" t="s">
        <v>19</v>
      </c>
      <c r="C154" s="59"/>
      <c r="D154" s="51" t="s">
        <v>607</v>
      </c>
      <c r="E154" s="51"/>
      <c r="F154" s="51"/>
      <c r="G154" s="50"/>
      <c r="H154" s="80"/>
      <c r="I154" s="52"/>
      <c r="J154" s="141"/>
      <c r="K154" s="141"/>
      <c r="L154" s="52"/>
      <c r="M154" s="89"/>
      <c r="N154" s="89"/>
      <c r="O154" s="52"/>
      <c r="P154" s="30"/>
      <c r="Q154" s="8">
        <f t="shared" si="8"/>
        <v>0</v>
      </c>
      <c r="R154" s="8">
        <f t="shared" si="9"/>
        <v>0</v>
      </c>
      <c r="S154" s="29">
        <f t="shared" si="7"/>
        <v>0</v>
      </c>
      <c r="T154" s="29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163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9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</row>
    <row r="155" spans="1:117" ht="18.75" customHeight="1">
      <c r="A155" s="59">
        <v>153</v>
      </c>
      <c r="B155" s="59" t="s">
        <v>19</v>
      </c>
      <c r="C155" s="59"/>
      <c r="D155" s="51" t="s">
        <v>608</v>
      </c>
      <c r="E155" s="51"/>
      <c r="F155" s="51"/>
      <c r="G155" s="50"/>
      <c r="H155" s="80"/>
      <c r="I155" s="52"/>
      <c r="J155" s="141"/>
      <c r="K155" s="141"/>
      <c r="L155" s="52"/>
      <c r="M155" s="89"/>
      <c r="N155" s="89"/>
      <c r="O155" s="52"/>
      <c r="P155" s="30"/>
      <c r="Q155" s="8">
        <f t="shared" si="8"/>
        <v>0</v>
      </c>
      <c r="R155" s="8">
        <f t="shared" si="9"/>
        <v>0</v>
      </c>
      <c r="S155" s="29">
        <f t="shared" si="7"/>
        <v>0</v>
      </c>
      <c r="T155" s="2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163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9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</row>
    <row r="156" spans="1:117" ht="18.75" customHeight="1">
      <c r="A156" s="59">
        <v>154</v>
      </c>
      <c r="B156" s="59" t="s">
        <v>19</v>
      </c>
      <c r="C156" s="59"/>
      <c r="D156" s="51" t="s">
        <v>67</v>
      </c>
      <c r="E156" s="51"/>
      <c r="F156" s="51"/>
      <c r="G156" s="50"/>
      <c r="H156" s="80"/>
      <c r="I156" s="52"/>
      <c r="J156" s="141"/>
      <c r="K156" s="141"/>
      <c r="L156" s="52"/>
      <c r="M156" s="89"/>
      <c r="N156" s="89"/>
      <c r="O156" s="52"/>
      <c r="P156" s="30"/>
      <c r="Q156" s="8">
        <f t="shared" si="8"/>
        <v>0</v>
      </c>
      <c r="R156" s="8">
        <f t="shared" si="9"/>
        <v>0</v>
      </c>
      <c r="S156" s="29">
        <f t="shared" si="7"/>
        <v>0</v>
      </c>
      <c r="T156" s="29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163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9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</row>
    <row r="157" spans="1:117" ht="18.75" customHeight="1">
      <c r="A157" s="59">
        <v>155</v>
      </c>
      <c r="B157" s="59" t="s">
        <v>19</v>
      </c>
      <c r="C157" s="59"/>
      <c r="D157" s="51" t="s">
        <v>493</v>
      </c>
      <c r="E157" s="51"/>
      <c r="F157" s="51"/>
      <c r="G157" s="50"/>
      <c r="H157" s="80"/>
      <c r="I157" s="52"/>
      <c r="J157" s="141"/>
      <c r="K157" s="141"/>
      <c r="L157" s="52"/>
      <c r="M157" s="89"/>
      <c r="N157" s="89"/>
      <c r="O157" s="52"/>
      <c r="P157" s="30"/>
      <c r="Q157" s="8">
        <f t="shared" si="8"/>
        <v>0</v>
      </c>
      <c r="R157" s="8">
        <f t="shared" si="9"/>
        <v>0</v>
      </c>
      <c r="S157" s="29">
        <f t="shared" si="7"/>
        <v>0</v>
      </c>
      <c r="T157" s="29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163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9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</row>
    <row r="158" spans="1:117" ht="18.75" customHeight="1">
      <c r="A158" s="59">
        <v>156</v>
      </c>
      <c r="B158" s="59" t="s">
        <v>19</v>
      </c>
      <c r="C158" s="59"/>
      <c r="D158" s="51" t="s">
        <v>622</v>
      </c>
      <c r="E158" s="51"/>
      <c r="F158" s="51"/>
      <c r="G158" s="50"/>
      <c r="H158" s="80"/>
      <c r="I158" s="52"/>
      <c r="J158" s="141"/>
      <c r="K158" s="141"/>
      <c r="L158" s="52"/>
      <c r="M158" s="89"/>
      <c r="N158" s="89"/>
      <c r="O158" s="52"/>
      <c r="P158" s="8"/>
      <c r="Q158" s="8">
        <f t="shared" si="8"/>
        <v>0</v>
      </c>
      <c r="R158" s="8">
        <f t="shared" si="9"/>
        <v>0</v>
      </c>
      <c r="S158" s="29">
        <f t="shared" si="7"/>
        <v>0</v>
      </c>
      <c r="T158" s="29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163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9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</row>
    <row r="159" spans="1:117" ht="18.75" customHeight="1">
      <c r="A159" s="59">
        <v>157</v>
      </c>
      <c r="B159" s="59" t="s">
        <v>19</v>
      </c>
      <c r="C159" s="59"/>
      <c r="D159" s="51" t="s">
        <v>634</v>
      </c>
      <c r="E159" s="51"/>
      <c r="F159" s="51"/>
      <c r="G159" s="50"/>
      <c r="H159" s="80"/>
      <c r="I159" s="52"/>
      <c r="J159" s="141"/>
      <c r="K159" s="141"/>
      <c r="L159" s="52"/>
      <c r="M159" s="89"/>
      <c r="N159" s="89"/>
      <c r="O159" s="52"/>
      <c r="P159" s="8"/>
      <c r="Q159" s="8">
        <f t="shared" si="8"/>
        <v>0</v>
      </c>
      <c r="R159" s="8">
        <f t="shared" si="9"/>
        <v>0</v>
      </c>
      <c r="S159" s="29">
        <f t="shared" si="7"/>
        <v>0</v>
      </c>
      <c r="T159" s="2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163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9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</row>
    <row r="160" spans="1:117" ht="18.75" customHeight="1">
      <c r="A160" s="59">
        <v>158</v>
      </c>
      <c r="B160" s="59" t="s">
        <v>19</v>
      </c>
      <c r="C160" s="59"/>
      <c r="D160" s="51" t="s">
        <v>638</v>
      </c>
      <c r="E160" s="51"/>
      <c r="F160" s="51"/>
      <c r="G160" s="50"/>
      <c r="H160" s="80"/>
      <c r="I160" s="52"/>
      <c r="J160" s="141"/>
      <c r="K160" s="141"/>
      <c r="L160" s="52"/>
      <c r="M160" s="89"/>
      <c r="N160" s="89"/>
      <c r="O160" s="52"/>
      <c r="P160" s="8"/>
      <c r="Q160" s="8">
        <f t="shared" si="8"/>
        <v>0</v>
      </c>
      <c r="R160" s="8">
        <f t="shared" si="9"/>
        <v>0</v>
      </c>
      <c r="S160" s="29">
        <f t="shared" si="7"/>
        <v>0</v>
      </c>
      <c r="T160" s="2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163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9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</row>
    <row r="161" spans="1:117" ht="18.75" customHeight="1">
      <c r="A161" s="59">
        <v>159</v>
      </c>
      <c r="B161" s="59" t="s">
        <v>19</v>
      </c>
      <c r="C161" s="59"/>
      <c r="D161" s="51" t="s">
        <v>623</v>
      </c>
      <c r="E161" s="51"/>
      <c r="F161" s="51"/>
      <c r="G161" s="50"/>
      <c r="H161" s="80"/>
      <c r="I161" s="52"/>
      <c r="J161" s="141"/>
      <c r="K161" s="141"/>
      <c r="L161" s="52"/>
      <c r="M161" s="89"/>
      <c r="N161" s="89"/>
      <c r="O161" s="52"/>
      <c r="P161" s="8"/>
      <c r="Q161" s="8">
        <f t="shared" si="8"/>
        <v>0</v>
      </c>
      <c r="R161" s="8">
        <f t="shared" si="9"/>
        <v>0</v>
      </c>
      <c r="S161" s="29">
        <f t="shared" si="7"/>
        <v>0</v>
      </c>
      <c r="T161" s="29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163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9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</row>
    <row r="162" spans="1:117" ht="18.75" customHeight="1">
      <c r="A162" s="59">
        <v>160</v>
      </c>
      <c r="B162" s="59" t="s">
        <v>19</v>
      </c>
      <c r="C162" s="59"/>
      <c r="D162" s="51" t="s">
        <v>414</v>
      </c>
      <c r="E162" s="51"/>
      <c r="F162" s="51"/>
      <c r="G162" s="50"/>
      <c r="H162" s="80"/>
      <c r="I162" s="52"/>
      <c r="J162" s="141"/>
      <c r="K162" s="141"/>
      <c r="L162" s="52"/>
      <c r="M162" s="89"/>
      <c r="N162" s="89"/>
      <c r="O162" s="52"/>
      <c r="P162" s="30"/>
      <c r="Q162" s="8">
        <f t="shared" si="8"/>
        <v>0</v>
      </c>
      <c r="R162" s="8">
        <f t="shared" si="9"/>
        <v>0</v>
      </c>
      <c r="S162" s="29">
        <f t="shared" si="7"/>
        <v>0</v>
      </c>
      <c r="T162" s="29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163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9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</row>
    <row r="163" spans="1:117" ht="18.75" customHeight="1">
      <c r="A163" s="59">
        <v>161</v>
      </c>
      <c r="B163" s="59" t="s">
        <v>19</v>
      </c>
      <c r="C163" s="59"/>
      <c r="D163" s="51" t="s">
        <v>277</v>
      </c>
      <c r="E163" s="51"/>
      <c r="F163" s="51"/>
      <c r="G163" s="50"/>
      <c r="H163" s="80"/>
      <c r="I163" s="52"/>
      <c r="J163" s="141"/>
      <c r="K163" s="141"/>
      <c r="L163" s="52"/>
      <c r="M163" s="89"/>
      <c r="N163" s="89"/>
      <c r="O163" s="52"/>
      <c r="P163" s="30"/>
      <c r="Q163" s="8">
        <f t="shared" si="8"/>
        <v>0</v>
      </c>
      <c r="R163" s="8">
        <f t="shared" si="9"/>
        <v>0</v>
      </c>
      <c r="S163" s="29">
        <f t="shared" si="7"/>
        <v>0</v>
      </c>
      <c r="T163" s="29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163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9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  <c r="DM163" s="31"/>
    </row>
    <row r="164" spans="1:117" ht="20.25" customHeight="1">
      <c r="A164" s="61"/>
      <c r="B164" s="61"/>
      <c r="C164" s="61"/>
      <c r="D164" s="63"/>
      <c r="E164" s="63"/>
      <c r="F164" s="63"/>
      <c r="G164" s="88"/>
      <c r="H164" s="82"/>
      <c r="I164" s="61"/>
      <c r="J164" s="143"/>
      <c r="K164" s="143"/>
      <c r="L164" s="61"/>
      <c r="M164" s="99"/>
      <c r="N164" s="99"/>
      <c r="O164" s="61"/>
      <c r="P164" s="64"/>
      <c r="Q164" s="65"/>
      <c r="R164" s="65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164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  <c r="CW164" s="99"/>
      <c r="CX164" s="99"/>
      <c r="CY164" s="99"/>
      <c r="CZ164" s="99"/>
      <c r="DA164" s="99"/>
      <c r="DB164" s="99"/>
      <c r="DC164" s="99"/>
      <c r="DD164" s="99"/>
      <c r="DE164" s="99"/>
      <c r="DF164" s="99"/>
      <c r="DG164" s="99"/>
      <c r="DH164" s="99"/>
      <c r="DI164" s="99"/>
      <c r="DJ164" s="99"/>
      <c r="DK164" s="99"/>
      <c r="DL164" s="99"/>
      <c r="DM164" s="99"/>
    </row>
    <row r="165" spans="1:117" ht="19.5" customHeight="1">
      <c r="A165" s="59">
        <v>1</v>
      </c>
      <c r="B165" s="52" t="s">
        <v>95</v>
      </c>
      <c r="C165" s="52"/>
      <c r="D165" s="51" t="s">
        <v>218</v>
      </c>
      <c r="E165" s="51"/>
      <c r="F165" s="51"/>
      <c r="G165" s="50"/>
      <c r="H165" s="80" t="s">
        <v>219</v>
      </c>
      <c r="I165" s="52" t="s">
        <v>89</v>
      </c>
      <c r="J165" s="141">
        <f>3800*6*0.85</f>
        <v>19380</v>
      </c>
      <c r="K165" s="141"/>
      <c r="L165" s="52"/>
      <c r="M165" s="98"/>
      <c r="N165" s="98"/>
      <c r="O165" s="52"/>
      <c r="P165" s="30"/>
      <c r="Q165" s="29">
        <f t="shared" ref="Q165:Q197" si="10">G165+J165+M165+P165</f>
        <v>19380</v>
      </c>
      <c r="R165" s="8">
        <f t="shared" ref="R165:R193" si="11">SUM(T165:DM165)</f>
        <v>0</v>
      </c>
      <c r="S165" s="29">
        <f t="shared" ref="S165:S197" si="12">Q165-R165</f>
        <v>19380</v>
      </c>
      <c r="T165" s="2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163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9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  <c r="DM165" s="31"/>
    </row>
    <row r="166" spans="1:117" ht="19.5" customHeight="1">
      <c r="A166" s="59">
        <v>2</v>
      </c>
      <c r="B166" s="52" t="s">
        <v>95</v>
      </c>
      <c r="C166" s="52"/>
      <c r="D166" s="51" t="s">
        <v>550</v>
      </c>
      <c r="E166" s="51"/>
      <c r="F166" s="51"/>
      <c r="G166" s="50"/>
      <c r="H166" s="80" t="s">
        <v>551</v>
      </c>
      <c r="I166" s="52" t="s">
        <v>89</v>
      </c>
      <c r="J166" s="141">
        <f>5000*6*0.9</f>
        <v>27000</v>
      </c>
      <c r="K166" s="141"/>
      <c r="L166" s="52"/>
      <c r="M166" s="98"/>
      <c r="N166" s="98"/>
      <c r="O166" s="52"/>
      <c r="P166" s="30"/>
      <c r="Q166" s="29">
        <f t="shared" si="10"/>
        <v>27000</v>
      </c>
      <c r="R166" s="8">
        <f t="shared" si="11"/>
        <v>0</v>
      </c>
      <c r="S166" s="29">
        <f t="shared" si="12"/>
        <v>27000</v>
      </c>
      <c r="T166" s="2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163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9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  <c r="DM166" s="31"/>
    </row>
    <row r="167" spans="1:117" ht="19.5" customHeight="1">
      <c r="A167" s="59">
        <v>3</v>
      </c>
      <c r="B167" s="52" t="s">
        <v>95</v>
      </c>
      <c r="C167" s="52"/>
      <c r="D167" s="51" t="s">
        <v>274</v>
      </c>
      <c r="E167" s="51"/>
      <c r="F167" s="51"/>
      <c r="G167" s="50"/>
      <c r="H167" s="80" t="s">
        <v>275</v>
      </c>
      <c r="I167" s="52" t="s">
        <v>89</v>
      </c>
      <c r="J167" s="141">
        <f>3800*6*0.85-800</f>
        <v>18580</v>
      </c>
      <c r="K167" s="141"/>
      <c r="L167" s="52"/>
      <c r="M167" s="98"/>
      <c r="N167" s="98"/>
      <c r="O167" s="52"/>
      <c r="P167" s="30"/>
      <c r="Q167" s="29">
        <f t="shared" si="10"/>
        <v>18580</v>
      </c>
      <c r="R167" s="8">
        <f t="shared" si="11"/>
        <v>0</v>
      </c>
      <c r="S167" s="29">
        <f t="shared" si="12"/>
        <v>18580</v>
      </c>
      <c r="T167" s="2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163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9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</row>
    <row r="168" spans="1:117" ht="19.5" customHeight="1">
      <c r="A168" s="59">
        <v>4</v>
      </c>
      <c r="B168" s="52" t="s">
        <v>95</v>
      </c>
      <c r="C168" s="52"/>
      <c r="D168" s="51" t="s">
        <v>276</v>
      </c>
      <c r="E168" s="51"/>
      <c r="F168" s="51"/>
      <c r="G168" s="50"/>
      <c r="H168" s="80" t="s">
        <v>275</v>
      </c>
      <c r="I168" s="52" t="s">
        <v>89</v>
      </c>
      <c r="J168" s="141">
        <f>3800*6*0.85-800</f>
        <v>18580</v>
      </c>
      <c r="K168" s="141"/>
      <c r="L168" s="52"/>
      <c r="M168" s="98"/>
      <c r="N168" s="98"/>
      <c r="O168" s="52"/>
      <c r="P168" s="30"/>
      <c r="Q168" s="29">
        <f t="shared" si="10"/>
        <v>18580</v>
      </c>
      <c r="R168" s="8">
        <f t="shared" si="11"/>
        <v>0</v>
      </c>
      <c r="S168" s="29">
        <f t="shared" si="12"/>
        <v>18580</v>
      </c>
      <c r="T168" s="2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163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9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  <c r="DM168" s="31"/>
    </row>
    <row r="169" spans="1:117" ht="19.5" customHeight="1">
      <c r="A169" s="59">
        <v>5</v>
      </c>
      <c r="B169" s="52" t="s">
        <v>95</v>
      </c>
      <c r="C169" s="52"/>
      <c r="D169" s="51" t="s">
        <v>544</v>
      </c>
      <c r="E169" s="51"/>
      <c r="F169" s="51"/>
      <c r="G169" s="50"/>
      <c r="H169" s="80" t="s">
        <v>545</v>
      </c>
      <c r="I169" s="52" t="s">
        <v>89</v>
      </c>
      <c r="J169" s="141">
        <f>5000*6*0.9</f>
        <v>27000</v>
      </c>
      <c r="K169" s="141"/>
      <c r="L169" s="52"/>
      <c r="M169" s="98"/>
      <c r="N169" s="98"/>
      <c r="O169" s="52"/>
      <c r="P169" s="30"/>
      <c r="Q169" s="29">
        <f t="shared" si="10"/>
        <v>27000</v>
      </c>
      <c r="R169" s="8">
        <f t="shared" si="11"/>
        <v>0</v>
      </c>
      <c r="S169" s="29">
        <f t="shared" si="12"/>
        <v>27000</v>
      </c>
      <c r="T169" s="2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163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9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  <c r="DM169" s="31"/>
    </row>
    <row r="170" spans="1:117" ht="19.5" customHeight="1">
      <c r="A170" s="59">
        <v>6</v>
      </c>
      <c r="B170" s="52" t="s">
        <v>95</v>
      </c>
      <c r="C170" s="52"/>
      <c r="D170" s="51" t="s">
        <v>83</v>
      </c>
      <c r="E170" s="51"/>
      <c r="F170" s="51"/>
      <c r="G170" s="50"/>
      <c r="H170" s="80" t="s">
        <v>84</v>
      </c>
      <c r="I170" s="52" t="s">
        <v>89</v>
      </c>
      <c r="J170" s="141">
        <f>5000*6*0.9</f>
        <v>27000</v>
      </c>
      <c r="K170" s="141"/>
      <c r="L170" s="52"/>
      <c r="M170" s="98"/>
      <c r="N170" s="98"/>
      <c r="O170" s="52"/>
      <c r="P170" s="30"/>
      <c r="Q170" s="29">
        <f t="shared" si="10"/>
        <v>27000</v>
      </c>
      <c r="R170" s="8">
        <f t="shared" si="11"/>
        <v>0</v>
      </c>
      <c r="S170" s="29">
        <f t="shared" si="12"/>
        <v>27000</v>
      </c>
      <c r="T170" s="29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163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9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  <c r="DM170" s="31"/>
    </row>
    <row r="171" spans="1:117" ht="19.5" customHeight="1">
      <c r="A171" s="59">
        <v>7</v>
      </c>
      <c r="B171" s="52" t="s">
        <v>95</v>
      </c>
      <c r="C171" s="52"/>
      <c r="D171" s="51" t="s">
        <v>86</v>
      </c>
      <c r="E171" s="51"/>
      <c r="F171" s="51"/>
      <c r="G171" s="50"/>
      <c r="H171" s="80" t="s">
        <v>84</v>
      </c>
      <c r="I171" s="52" t="s">
        <v>87</v>
      </c>
      <c r="J171" s="141">
        <f>3800*6*0.85</f>
        <v>19380</v>
      </c>
      <c r="K171" s="141"/>
      <c r="L171" s="52"/>
      <c r="M171" s="98"/>
      <c r="N171" s="98"/>
      <c r="O171" s="52"/>
      <c r="P171" s="30"/>
      <c r="Q171" s="29">
        <f t="shared" si="10"/>
        <v>19380</v>
      </c>
      <c r="R171" s="8">
        <f t="shared" si="11"/>
        <v>0</v>
      </c>
      <c r="S171" s="29">
        <f t="shared" si="12"/>
        <v>19380</v>
      </c>
      <c r="T171" s="2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163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9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  <c r="DM171" s="31"/>
    </row>
    <row r="172" spans="1:117" ht="19.5" customHeight="1">
      <c r="A172" s="59">
        <v>8</v>
      </c>
      <c r="B172" s="52" t="s">
        <v>95</v>
      </c>
      <c r="C172" s="52"/>
      <c r="D172" s="51" t="s">
        <v>88</v>
      </c>
      <c r="E172" s="51"/>
      <c r="F172" s="51"/>
      <c r="G172" s="50"/>
      <c r="H172" s="80" t="s">
        <v>84</v>
      </c>
      <c r="I172" s="52" t="s">
        <v>89</v>
      </c>
      <c r="J172" s="141">
        <f>3800*6*0.85-800</f>
        <v>18580</v>
      </c>
      <c r="K172" s="141"/>
      <c r="L172" s="52"/>
      <c r="M172" s="98"/>
      <c r="N172" s="98"/>
      <c r="O172" s="52"/>
      <c r="P172" s="30"/>
      <c r="Q172" s="29">
        <f t="shared" si="10"/>
        <v>18580</v>
      </c>
      <c r="R172" s="8">
        <f t="shared" si="11"/>
        <v>0</v>
      </c>
      <c r="S172" s="29">
        <f t="shared" si="12"/>
        <v>18580</v>
      </c>
      <c r="T172" s="2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163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2"/>
      <c r="BS172" s="32"/>
      <c r="BT172" s="32"/>
      <c r="BU172" s="32"/>
      <c r="BV172" s="32"/>
      <c r="BW172" s="32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9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</row>
    <row r="173" spans="1:117" ht="19.5" customHeight="1">
      <c r="A173" s="59">
        <v>9</v>
      </c>
      <c r="B173" s="52" t="s">
        <v>95</v>
      </c>
      <c r="C173" s="52"/>
      <c r="D173" s="51" t="s">
        <v>381</v>
      </c>
      <c r="E173" s="51"/>
      <c r="F173" s="51"/>
      <c r="G173" s="50"/>
      <c r="H173" s="80" t="s">
        <v>382</v>
      </c>
      <c r="I173" s="52" t="s">
        <v>89</v>
      </c>
      <c r="J173" s="141">
        <f>3800*6*0.85</f>
        <v>19380</v>
      </c>
      <c r="K173" s="141"/>
      <c r="L173" s="52"/>
      <c r="M173" s="98"/>
      <c r="N173" s="98"/>
      <c r="O173" s="52"/>
      <c r="P173" s="30"/>
      <c r="Q173" s="29">
        <f t="shared" si="10"/>
        <v>19380</v>
      </c>
      <c r="R173" s="8">
        <f t="shared" si="11"/>
        <v>0</v>
      </c>
      <c r="S173" s="29">
        <f t="shared" si="12"/>
        <v>19380</v>
      </c>
      <c r="T173" s="2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163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9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  <c r="DM173" s="31"/>
    </row>
    <row r="174" spans="1:117" ht="19.5" customHeight="1">
      <c r="A174" s="59">
        <v>10</v>
      </c>
      <c r="B174" s="52" t="s">
        <v>95</v>
      </c>
      <c r="C174" s="52"/>
      <c r="D174" s="51" t="s">
        <v>583</v>
      </c>
      <c r="E174" s="51"/>
      <c r="F174" s="51"/>
      <c r="G174" s="50"/>
      <c r="H174" s="80" t="s">
        <v>464</v>
      </c>
      <c r="I174" s="52" t="s">
        <v>466</v>
      </c>
      <c r="J174" s="141">
        <f>3800*6*0.85</f>
        <v>19380</v>
      </c>
      <c r="K174" s="141"/>
      <c r="L174" s="52"/>
      <c r="M174" s="98"/>
      <c r="N174" s="98"/>
      <c r="O174" s="52"/>
      <c r="P174" s="30"/>
      <c r="Q174" s="29">
        <f t="shared" si="10"/>
        <v>19380</v>
      </c>
      <c r="R174" s="8">
        <f t="shared" si="11"/>
        <v>0</v>
      </c>
      <c r="S174" s="29">
        <f t="shared" si="12"/>
        <v>19380</v>
      </c>
      <c r="T174" s="2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163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9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  <c r="DM174" s="31"/>
    </row>
    <row r="175" spans="1:117" ht="19.5" customHeight="1">
      <c r="A175" s="59">
        <v>11</v>
      </c>
      <c r="B175" s="52" t="s">
        <v>95</v>
      </c>
      <c r="C175" s="52"/>
      <c r="D175" s="51" t="s">
        <v>463</v>
      </c>
      <c r="E175" s="51"/>
      <c r="F175" s="51"/>
      <c r="G175" s="50"/>
      <c r="H175" s="80" t="s">
        <v>464</v>
      </c>
      <c r="I175" s="52" t="s">
        <v>633</v>
      </c>
      <c r="J175" s="141">
        <f>3800*4*0.85</f>
        <v>12920</v>
      </c>
      <c r="K175" s="141"/>
      <c r="L175" s="52"/>
      <c r="M175" s="98"/>
      <c r="N175" s="98"/>
      <c r="O175" s="52"/>
      <c r="P175" s="30"/>
      <c r="Q175" s="29">
        <f t="shared" si="10"/>
        <v>12920</v>
      </c>
      <c r="R175" s="8">
        <f t="shared" si="11"/>
        <v>0</v>
      </c>
      <c r="S175" s="29">
        <f t="shared" si="12"/>
        <v>12920</v>
      </c>
      <c r="T175" s="2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163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9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  <c r="DM175" s="31"/>
    </row>
    <row r="176" spans="1:117" ht="19.5" customHeight="1">
      <c r="A176" s="59">
        <v>12</v>
      </c>
      <c r="B176" s="52" t="s">
        <v>95</v>
      </c>
      <c r="C176" s="52"/>
      <c r="D176" s="51" t="s">
        <v>465</v>
      </c>
      <c r="E176" s="51"/>
      <c r="F176" s="51"/>
      <c r="G176" s="50"/>
      <c r="H176" s="80" t="s">
        <v>464</v>
      </c>
      <c r="I176" s="52" t="s">
        <v>466</v>
      </c>
      <c r="J176" s="141">
        <f>3800*6*0.85</f>
        <v>19380</v>
      </c>
      <c r="K176" s="141"/>
      <c r="L176" s="52"/>
      <c r="M176" s="98"/>
      <c r="N176" s="98"/>
      <c r="O176" s="52"/>
      <c r="P176" s="30"/>
      <c r="Q176" s="29">
        <f t="shared" si="10"/>
        <v>19380</v>
      </c>
      <c r="R176" s="8">
        <f t="shared" si="11"/>
        <v>0</v>
      </c>
      <c r="S176" s="29">
        <f t="shared" si="12"/>
        <v>19380</v>
      </c>
      <c r="T176" s="2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163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9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  <c r="DM176" s="31"/>
    </row>
    <row r="177" spans="1:117" ht="19.5" customHeight="1">
      <c r="A177" s="59">
        <v>13</v>
      </c>
      <c r="B177" s="52" t="s">
        <v>95</v>
      </c>
      <c r="C177" s="52"/>
      <c r="D177" s="51" t="s">
        <v>610</v>
      </c>
      <c r="E177" s="51"/>
      <c r="F177" s="51"/>
      <c r="G177" s="50"/>
      <c r="H177" s="80" t="s">
        <v>611</v>
      </c>
      <c r="I177" s="52" t="s">
        <v>89</v>
      </c>
      <c r="J177" s="141">
        <f>3800*6*0.85</f>
        <v>19380</v>
      </c>
      <c r="K177" s="141"/>
      <c r="L177" s="52"/>
      <c r="M177" s="89"/>
      <c r="N177" s="89"/>
      <c r="O177" s="52"/>
      <c r="P177" s="30"/>
      <c r="Q177" s="29">
        <f t="shared" si="10"/>
        <v>19380</v>
      </c>
      <c r="R177" s="8">
        <f t="shared" si="11"/>
        <v>0</v>
      </c>
      <c r="S177" s="29">
        <f t="shared" si="12"/>
        <v>19380</v>
      </c>
      <c r="T177" s="2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163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9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  <c r="DM177" s="31"/>
    </row>
    <row r="178" spans="1:117" ht="19.5" customHeight="1">
      <c r="A178" s="59">
        <v>14</v>
      </c>
      <c r="B178" s="52" t="s">
        <v>95</v>
      </c>
      <c r="C178" s="52"/>
      <c r="D178" s="51" t="s">
        <v>392</v>
      </c>
      <c r="E178" s="51"/>
      <c r="F178" s="51"/>
      <c r="G178" s="50"/>
      <c r="H178" s="80" t="s">
        <v>393</v>
      </c>
      <c r="I178" s="52" t="s">
        <v>612</v>
      </c>
      <c r="J178" s="141">
        <f>3800*2*0.85</f>
        <v>6460</v>
      </c>
      <c r="K178" s="141"/>
      <c r="L178" s="52"/>
      <c r="M178" s="89"/>
      <c r="N178" s="89"/>
      <c r="O178" s="52"/>
      <c r="P178" s="8"/>
      <c r="Q178" s="29">
        <f t="shared" si="10"/>
        <v>6460</v>
      </c>
      <c r="R178" s="8">
        <f t="shared" si="11"/>
        <v>0</v>
      </c>
      <c r="S178" s="29">
        <f t="shared" si="12"/>
        <v>6460</v>
      </c>
      <c r="T178" s="2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163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9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  <c r="DM178" s="31"/>
    </row>
    <row r="179" spans="1:117" ht="19.5" customHeight="1">
      <c r="A179" s="59">
        <v>15</v>
      </c>
      <c r="B179" s="52" t="s">
        <v>95</v>
      </c>
      <c r="C179" s="52"/>
      <c r="D179" s="51" t="s">
        <v>625</v>
      </c>
      <c r="E179" s="51"/>
      <c r="F179" s="51"/>
      <c r="G179" s="50"/>
      <c r="H179" s="80" t="s">
        <v>624</v>
      </c>
      <c r="I179" s="52" t="s">
        <v>89</v>
      </c>
      <c r="J179" s="141">
        <f>3800*6*0.85</f>
        <v>19380</v>
      </c>
      <c r="K179" s="141"/>
      <c r="L179" s="52"/>
      <c r="M179" s="89"/>
      <c r="N179" s="89"/>
      <c r="O179" s="52"/>
      <c r="P179" s="8"/>
      <c r="Q179" s="29">
        <f t="shared" si="10"/>
        <v>19380</v>
      </c>
      <c r="R179" s="8">
        <f t="shared" si="11"/>
        <v>0</v>
      </c>
      <c r="S179" s="29">
        <f t="shared" si="12"/>
        <v>19380</v>
      </c>
      <c r="T179" s="29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163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9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  <c r="DM179" s="31"/>
    </row>
    <row r="180" spans="1:117" ht="19.5" customHeight="1">
      <c r="A180" s="59">
        <v>16</v>
      </c>
      <c r="B180" s="52" t="s">
        <v>95</v>
      </c>
      <c r="C180" s="52"/>
      <c r="D180" s="51" t="s">
        <v>626</v>
      </c>
      <c r="E180" s="51"/>
      <c r="F180" s="51"/>
      <c r="G180" s="50"/>
      <c r="H180" s="80" t="s">
        <v>624</v>
      </c>
      <c r="I180" s="52" t="s">
        <v>89</v>
      </c>
      <c r="J180" s="141">
        <f>3800*6*0.85</f>
        <v>19380</v>
      </c>
      <c r="K180" s="141"/>
      <c r="L180" s="52"/>
      <c r="M180" s="89"/>
      <c r="N180" s="89"/>
      <c r="O180" s="52"/>
      <c r="P180" s="8"/>
      <c r="Q180" s="29">
        <f t="shared" si="10"/>
        <v>19380</v>
      </c>
      <c r="R180" s="8">
        <f t="shared" si="11"/>
        <v>0</v>
      </c>
      <c r="S180" s="29">
        <f t="shared" si="12"/>
        <v>19380</v>
      </c>
      <c r="T180" s="29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163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9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  <c r="DM180" s="31"/>
    </row>
    <row r="181" spans="1:117" ht="19.5" customHeight="1">
      <c r="A181" s="59">
        <v>17</v>
      </c>
      <c r="B181" s="52" t="s">
        <v>95</v>
      </c>
      <c r="C181" s="52"/>
      <c r="D181" s="51" t="s">
        <v>628</v>
      </c>
      <c r="E181" s="51"/>
      <c r="F181" s="51"/>
      <c r="G181" s="50"/>
      <c r="H181" s="80" t="s">
        <v>629</v>
      </c>
      <c r="I181" s="52" t="s">
        <v>89</v>
      </c>
      <c r="J181" s="141">
        <f>5000*6</f>
        <v>30000</v>
      </c>
      <c r="K181" s="141"/>
      <c r="L181" s="52"/>
      <c r="M181" s="89"/>
      <c r="N181" s="89"/>
      <c r="O181" s="52"/>
      <c r="P181" s="8"/>
      <c r="Q181" s="29">
        <f t="shared" si="10"/>
        <v>30000</v>
      </c>
      <c r="R181" s="8">
        <f t="shared" si="11"/>
        <v>0</v>
      </c>
      <c r="S181" s="29">
        <f t="shared" si="12"/>
        <v>30000</v>
      </c>
      <c r="T181" s="2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163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9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  <c r="DM181" s="31"/>
    </row>
    <row r="182" spans="1:117" ht="19.5" customHeight="1">
      <c r="A182" s="59">
        <v>18</v>
      </c>
      <c r="B182" s="52" t="s">
        <v>95</v>
      </c>
      <c r="C182" s="52"/>
      <c r="D182" s="51" t="s">
        <v>636</v>
      </c>
      <c r="E182" s="51"/>
      <c r="F182" s="51"/>
      <c r="G182" s="50"/>
      <c r="H182" s="80" t="s">
        <v>635</v>
      </c>
      <c r="I182" s="52" t="s">
        <v>637</v>
      </c>
      <c r="J182" s="141">
        <f>3800*4*0.85</f>
        <v>12920</v>
      </c>
      <c r="K182" s="141"/>
      <c r="L182" s="52"/>
      <c r="M182" s="89"/>
      <c r="N182" s="89"/>
      <c r="O182" s="52"/>
      <c r="P182" s="8"/>
      <c r="Q182" s="29">
        <f t="shared" si="10"/>
        <v>12920</v>
      </c>
      <c r="R182" s="8">
        <f t="shared" si="11"/>
        <v>0</v>
      </c>
      <c r="S182" s="29">
        <f t="shared" si="12"/>
        <v>12920</v>
      </c>
      <c r="T182" s="29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163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9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</row>
    <row r="183" spans="1:117" ht="19.5" customHeight="1">
      <c r="A183" s="59">
        <v>19</v>
      </c>
      <c r="B183" s="52" t="s">
        <v>95</v>
      </c>
      <c r="C183" s="52"/>
      <c r="D183" s="51" t="s">
        <v>651</v>
      </c>
      <c r="E183" s="51"/>
      <c r="F183" s="51"/>
      <c r="G183" s="50"/>
      <c r="H183" s="80" t="s">
        <v>650</v>
      </c>
      <c r="I183" s="52" t="s">
        <v>89</v>
      </c>
      <c r="J183" s="141">
        <f>3800*6*0.85-1000</f>
        <v>18380</v>
      </c>
      <c r="K183" s="141"/>
      <c r="L183" s="52"/>
      <c r="M183" s="89"/>
      <c r="N183" s="89"/>
      <c r="O183" s="52"/>
      <c r="P183" s="8"/>
      <c r="Q183" s="29">
        <f t="shared" si="10"/>
        <v>18380</v>
      </c>
      <c r="R183" s="8">
        <f t="shared" si="11"/>
        <v>0</v>
      </c>
      <c r="S183" s="29">
        <f t="shared" si="12"/>
        <v>18380</v>
      </c>
      <c r="T183" s="29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163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9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  <c r="DM183" s="31"/>
    </row>
    <row r="184" spans="1:117" ht="19.5" customHeight="1">
      <c r="A184" s="59">
        <v>20</v>
      </c>
      <c r="B184" s="52" t="s">
        <v>95</v>
      </c>
      <c r="C184" s="52"/>
      <c r="D184" s="51" t="s">
        <v>652</v>
      </c>
      <c r="E184" s="51"/>
      <c r="F184" s="51"/>
      <c r="G184" s="50"/>
      <c r="H184" s="80" t="s">
        <v>653</v>
      </c>
      <c r="I184" s="52" t="s">
        <v>87</v>
      </c>
      <c r="J184" s="141">
        <f>3800*6*0.85</f>
        <v>19380</v>
      </c>
      <c r="K184" s="141"/>
      <c r="L184" s="52"/>
      <c r="M184" s="89"/>
      <c r="N184" s="89"/>
      <c r="O184" s="52"/>
      <c r="P184" s="8"/>
      <c r="Q184" s="29">
        <f t="shared" si="10"/>
        <v>19380</v>
      </c>
      <c r="R184" s="8">
        <f t="shared" si="11"/>
        <v>0</v>
      </c>
      <c r="S184" s="29">
        <f t="shared" si="12"/>
        <v>19380</v>
      </c>
      <c r="T184" s="29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163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9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  <c r="DM184" s="31"/>
    </row>
    <row r="185" spans="1:117" ht="19.5" customHeight="1">
      <c r="A185" s="59">
        <v>21</v>
      </c>
      <c r="B185" s="52" t="s">
        <v>95</v>
      </c>
      <c r="C185" s="52"/>
      <c r="D185" s="51" t="s">
        <v>657</v>
      </c>
      <c r="E185" s="51"/>
      <c r="F185" s="51"/>
      <c r="G185" s="50"/>
      <c r="H185" s="80" t="s">
        <v>656</v>
      </c>
      <c r="I185" s="52" t="s">
        <v>89</v>
      </c>
      <c r="J185" s="141">
        <f>3800*6*0.85</f>
        <v>19380</v>
      </c>
      <c r="K185" s="141"/>
      <c r="L185" s="52"/>
      <c r="M185" s="89"/>
      <c r="N185" s="89"/>
      <c r="O185" s="52"/>
      <c r="P185" s="8"/>
      <c r="Q185" s="29">
        <f t="shared" si="10"/>
        <v>19380</v>
      </c>
      <c r="R185" s="8">
        <f t="shared" si="11"/>
        <v>0</v>
      </c>
      <c r="S185" s="29">
        <f t="shared" si="12"/>
        <v>19380</v>
      </c>
      <c r="T185" s="29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163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9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  <c r="DM185" s="31"/>
    </row>
    <row r="186" spans="1:117" ht="19.5" customHeight="1">
      <c r="A186" s="59">
        <v>22</v>
      </c>
      <c r="B186" s="52" t="s">
        <v>95</v>
      </c>
      <c r="C186" s="52"/>
      <c r="D186" s="51" t="s">
        <v>660</v>
      </c>
      <c r="E186" s="51"/>
      <c r="F186" s="51"/>
      <c r="G186" s="50"/>
      <c r="H186" s="80" t="s">
        <v>659</v>
      </c>
      <c r="I186" s="52" t="s">
        <v>89</v>
      </c>
      <c r="J186" s="141">
        <f>3800*6*0.85</f>
        <v>19380</v>
      </c>
      <c r="K186" s="141"/>
      <c r="L186" s="52"/>
      <c r="M186" s="89"/>
      <c r="N186" s="89"/>
      <c r="O186" s="52"/>
      <c r="P186" s="8"/>
      <c r="Q186" s="29">
        <f t="shared" si="10"/>
        <v>19380</v>
      </c>
      <c r="R186" s="8">
        <f t="shared" si="11"/>
        <v>0</v>
      </c>
      <c r="S186" s="29">
        <f t="shared" si="12"/>
        <v>19380</v>
      </c>
      <c r="T186" s="2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163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9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  <c r="DM186" s="31"/>
    </row>
    <row r="187" spans="1:117" ht="19.5" customHeight="1">
      <c r="A187" s="59">
        <v>23</v>
      </c>
      <c r="B187" s="52" t="s">
        <v>95</v>
      </c>
      <c r="C187" s="52"/>
      <c r="D187" s="51" t="s">
        <v>662</v>
      </c>
      <c r="E187" s="51"/>
      <c r="F187" s="51"/>
      <c r="G187" s="50">
        <f>1200+600</f>
        <v>1800</v>
      </c>
      <c r="H187" s="80" t="s">
        <v>661</v>
      </c>
      <c r="I187" s="52" t="s">
        <v>89</v>
      </c>
      <c r="J187" s="141">
        <f>3800*0.8*6</f>
        <v>18240</v>
      </c>
      <c r="K187" s="141"/>
      <c r="L187" s="52" t="s">
        <v>89</v>
      </c>
      <c r="M187" s="89">
        <f>400*6</f>
        <v>2400</v>
      </c>
      <c r="N187" s="89"/>
      <c r="O187" s="52"/>
      <c r="P187" s="8"/>
      <c r="Q187" s="29">
        <f t="shared" si="10"/>
        <v>22440</v>
      </c>
      <c r="R187" s="8">
        <f t="shared" si="11"/>
        <v>0</v>
      </c>
      <c r="S187" s="29">
        <f t="shared" si="12"/>
        <v>22440</v>
      </c>
      <c r="T187" s="29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163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9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  <c r="DM187" s="31"/>
    </row>
    <row r="188" spans="1:117" ht="19.5" customHeight="1">
      <c r="A188" s="59">
        <v>24</v>
      </c>
      <c r="B188" s="52" t="s">
        <v>95</v>
      </c>
      <c r="C188" s="52"/>
      <c r="D188" s="51" t="s">
        <v>663</v>
      </c>
      <c r="E188" s="51"/>
      <c r="F188" s="51"/>
      <c r="G188" s="50"/>
      <c r="H188" s="80" t="s">
        <v>665</v>
      </c>
      <c r="I188" s="52" t="s">
        <v>89</v>
      </c>
      <c r="J188" s="141">
        <f>3800*6*0.85</f>
        <v>19380</v>
      </c>
      <c r="K188" s="141"/>
      <c r="L188" s="52"/>
      <c r="M188" s="89"/>
      <c r="N188" s="89"/>
      <c r="O188" s="52"/>
      <c r="P188" s="8"/>
      <c r="Q188" s="29">
        <f t="shared" si="10"/>
        <v>19380</v>
      </c>
      <c r="R188" s="8">
        <f t="shared" si="11"/>
        <v>0</v>
      </c>
      <c r="S188" s="29">
        <f t="shared" si="12"/>
        <v>19380</v>
      </c>
      <c r="T188" s="29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163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9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  <c r="DG188" s="31"/>
      <c r="DH188" s="31"/>
      <c r="DI188" s="31"/>
      <c r="DJ188" s="31"/>
      <c r="DK188" s="31"/>
      <c r="DL188" s="31"/>
      <c r="DM188" s="31"/>
    </row>
    <row r="189" spans="1:117" ht="19.5" customHeight="1">
      <c r="A189" s="59">
        <v>25</v>
      </c>
      <c r="B189" s="52" t="s">
        <v>95</v>
      </c>
      <c r="C189" s="52"/>
      <c r="D189" s="51" t="s">
        <v>664</v>
      </c>
      <c r="E189" s="51"/>
      <c r="F189" s="51"/>
      <c r="G189" s="50"/>
      <c r="H189" s="80" t="s">
        <v>665</v>
      </c>
      <c r="I189" s="52" t="s">
        <v>89</v>
      </c>
      <c r="J189" s="141">
        <f>3800*6*0.85*0.95</f>
        <v>18411</v>
      </c>
      <c r="K189" s="141"/>
      <c r="L189" s="52"/>
      <c r="M189" s="89"/>
      <c r="N189" s="89"/>
      <c r="O189" s="52"/>
      <c r="P189" s="8"/>
      <c r="Q189" s="29">
        <f t="shared" si="10"/>
        <v>18411</v>
      </c>
      <c r="R189" s="8">
        <f t="shared" si="11"/>
        <v>0</v>
      </c>
      <c r="S189" s="29">
        <f t="shared" si="12"/>
        <v>18411</v>
      </c>
      <c r="T189" s="2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163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9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  <c r="DM189" s="31"/>
    </row>
    <row r="190" spans="1:117" ht="19.5" customHeight="1">
      <c r="A190" s="59">
        <v>26</v>
      </c>
      <c r="B190" s="52" t="s">
        <v>95</v>
      </c>
      <c r="C190" s="52"/>
      <c r="D190" s="51" t="s">
        <v>667</v>
      </c>
      <c r="E190" s="51"/>
      <c r="F190" s="51"/>
      <c r="G190" s="50"/>
      <c r="H190" s="80" t="s">
        <v>668</v>
      </c>
      <c r="I190" s="52" t="s">
        <v>87</v>
      </c>
      <c r="J190" s="141">
        <f>3800*6*0.85</f>
        <v>19380</v>
      </c>
      <c r="K190" s="141"/>
      <c r="L190" s="52"/>
      <c r="M190" s="89"/>
      <c r="N190" s="89"/>
      <c r="O190" s="52"/>
      <c r="P190" s="8"/>
      <c r="Q190" s="29">
        <f t="shared" si="10"/>
        <v>19380</v>
      </c>
      <c r="R190" s="8">
        <f t="shared" si="11"/>
        <v>0</v>
      </c>
      <c r="S190" s="29">
        <f t="shared" si="12"/>
        <v>19380</v>
      </c>
      <c r="T190" s="29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163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9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  <c r="DM190" s="31"/>
    </row>
    <row r="191" spans="1:117" ht="19.5" customHeight="1">
      <c r="A191" s="59">
        <v>27</v>
      </c>
      <c r="B191" s="52" t="s">
        <v>95</v>
      </c>
      <c r="C191" s="52"/>
      <c r="D191" s="51" t="s">
        <v>669</v>
      </c>
      <c r="E191" s="51"/>
      <c r="F191" s="51"/>
      <c r="G191" s="50">
        <f>1200+800</f>
        <v>2000</v>
      </c>
      <c r="H191" s="80" t="s">
        <v>670</v>
      </c>
      <c r="I191" s="52" t="s">
        <v>671</v>
      </c>
      <c r="J191" s="141">
        <f>3800*8*0.85</f>
        <v>25840</v>
      </c>
      <c r="K191" s="141"/>
      <c r="L191" s="52" t="s">
        <v>671</v>
      </c>
      <c r="M191" s="89">
        <f>400*8</f>
        <v>3200</v>
      </c>
      <c r="N191" s="89"/>
      <c r="O191" s="52"/>
      <c r="P191" s="8"/>
      <c r="Q191" s="29">
        <f t="shared" si="10"/>
        <v>31040</v>
      </c>
      <c r="R191" s="8">
        <f t="shared" si="11"/>
        <v>0</v>
      </c>
      <c r="S191" s="29">
        <f t="shared" si="12"/>
        <v>31040</v>
      </c>
      <c r="T191" s="2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163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9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  <c r="DM191" s="31"/>
    </row>
    <row r="192" spans="1:117" ht="19.5" customHeight="1">
      <c r="A192" s="59">
        <v>28</v>
      </c>
      <c r="B192" s="52" t="s">
        <v>95</v>
      </c>
      <c r="C192" s="52"/>
      <c r="D192" s="51" t="s">
        <v>673</v>
      </c>
      <c r="E192" s="51"/>
      <c r="F192" s="51"/>
      <c r="G192" s="50"/>
      <c r="H192" s="80" t="s">
        <v>674</v>
      </c>
      <c r="I192" s="52" t="s">
        <v>89</v>
      </c>
      <c r="J192" s="141">
        <f>5000*6*0.7</f>
        <v>21000</v>
      </c>
      <c r="K192" s="141"/>
      <c r="L192" s="52"/>
      <c r="M192" s="89"/>
      <c r="N192" s="89"/>
      <c r="O192" s="52"/>
      <c r="P192" s="8"/>
      <c r="Q192" s="29">
        <f t="shared" si="10"/>
        <v>21000</v>
      </c>
      <c r="R192" s="8">
        <f t="shared" si="11"/>
        <v>0</v>
      </c>
      <c r="S192" s="29">
        <f t="shared" si="12"/>
        <v>21000</v>
      </c>
      <c r="T192" s="2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163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9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</row>
    <row r="193" spans="1:117" ht="19.5" customHeight="1">
      <c r="A193" s="59">
        <v>29</v>
      </c>
      <c r="B193" s="52" t="s">
        <v>95</v>
      </c>
      <c r="C193" s="52"/>
      <c r="D193" s="51" t="s">
        <v>658</v>
      </c>
      <c r="E193" s="51"/>
      <c r="F193" s="51"/>
      <c r="G193" s="50">
        <f t="shared" ref="G193" si="13">1200+600</f>
        <v>1800</v>
      </c>
      <c r="H193" s="80" t="s">
        <v>656</v>
      </c>
      <c r="I193" s="52" t="s">
        <v>612</v>
      </c>
      <c r="J193" s="141">
        <f>3800*3*0.85-3230</f>
        <v>6460</v>
      </c>
      <c r="K193" s="141"/>
      <c r="L193" s="52" t="s">
        <v>612</v>
      </c>
      <c r="M193" s="89">
        <f>400*3-400</f>
        <v>800</v>
      </c>
      <c r="N193" s="89"/>
      <c r="O193" s="52"/>
      <c r="P193" s="8"/>
      <c r="Q193" s="29">
        <f t="shared" si="10"/>
        <v>9060</v>
      </c>
      <c r="R193" s="8">
        <f t="shared" si="11"/>
        <v>0</v>
      </c>
      <c r="S193" s="29">
        <f t="shared" si="12"/>
        <v>9060</v>
      </c>
      <c r="T193" s="2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163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9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</row>
    <row r="194" spans="1:117" ht="21.75" customHeight="1">
      <c r="A194" s="61"/>
      <c r="B194" s="61"/>
      <c r="C194" s="61"/>
      <c r="D194" s="63"/>
      <c r="E194" s="63"/>
      <c r="F194" s="63"/>
      <c r="G194" s="88"/>
      <c r="H194" s="82"/>
      <c r="I194" s="61"/>
      <c r="J194" s="143"/>
      <c r="K194" s="143"/>
      <c r="L194" s="61"/>
      <c r="M194" s="99"/>
      <c r="N194" s="99"/>
      <c r="O194" s="61"/>
      <c r="P194" s="64"/>
      <c r="Q194" s="64"/>
      <c r="R194" s="64"/>
      <c r="S194" s="64"/>
      <c r="T194" s="65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163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66"/>
      <c r="CN194" s="66"/>
      <c r="CO194" s="66"/>
      <c r="CP194" s="66"/>
      <c r="CQ194" s="66"/>
      <c r="CR194" s="66"/>
      <c r="CS194" s="66"/>
      <c r="CT194" s="66"/>
      <c r="CU194" s="66"/>
      <c r="CV194" s="66"/>
      <c r="CW194" s="66"/>
      <c r="CX194" s="66"/>
      <c r="CY194" s="66"/>
      <c r="CZ194" s="66"/>
      <c r="DA194" s="66"/>
      <c r="DB194" s="66"/>
      <c r="DC194" s="66"/>
      <c r="DD194" s="66"/>
      <c r="DE194" s="66"/>
      <c r="DF194" s="66"/>
      <c r="DG194" s="66"/>
      <c r="DH194" s="66"/>
      <c r="DI194" s="66"/>
      <c r="DJ194" s="66"/>
      <c r="DK194" s="66"/>
      <c r="DL194" s="66"/>
      <c r="DM194" s="66"/>
    </row>
    <row r="195" spans="1:117" ht="18" customHeight="1">
      <c r="A195" s="59">
        <v>1</v>
      </c>
      <c r="B195" s="191"/>
      <c r="C195" s="59"/>
      <c r="D195" s="59"/>
      <c r="E195" s="59"/>
      <c r="F195" s="59"/>
      <c r="G195" s="50"/>
      <c r="H195" s="79"/>
      <c r="I195" s="52"/>
      <c r="J195" s="138"/>
      <c r="K195" s="138"/>
      <c r="L195" s="52"/>
      <c r="M195" s="89"/>
      <c r="N195" s="89"/>
      <c r="O195" s="52"/>
      <c r="P195" s="8"/>
      <c r="Q195" s="29">
        <f t="shared" si="10"/>
        <v>0</v>
      </c>
      <c r="R195" s="8">
        <f t="shared" ref="R195:R197" si="14">SUM(T195:DM195)</f>
        <v>0</v>
      </c>
      <c r="S195" s="29">
        <f t="shared" si="12"/>
        <v>0</v>
      </c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29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162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3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29"/>
      <c r="DE195" s="29"/>
      <c r="DF195" s="29"/>
      <c r="DG195" s="29"/>
      <c r="DH195" s="29"/>
      <c r="DI195" s="29"/>
      <c r="DJ195" s="29"/>
      <c r="DK195" s="29"/>
      <c r="DL195" s="29"/>
      <c r="DM195" s="8"/>
    </row>
    <row r="196" spans="1:117" ht="18" customHeight="1">
      <c r="A196" s="59"/>
      <c r="B196" s="59"/>
      <c r="C196" s="59"/>
      <c r="D196" s="59"/>
      <c r="E196" s="59"/>
      <c r="F196" s="59"/>
      <c r="G196" s="50"/>
      <c r="H196" s="79"/>
      <c r="I196" s="52"/>
      <c r="J196" s="138"/>
      <c r="K196" s="138"/>
      <c r="L196" s="52"/>
      <c r="M196" s="89"/>
      <c r="N196" s="89"/>
      <c r="O196" s="52"/>
      <c r="P196" s="8"/>
      <c r="Q196" s="29">
        <f t="shared" si="10"/>
        <v>0</v>
      </c>
      <c r="R196" s="8">
        <f t="shared" si="14"/>
        <v>0</v>
      </c>
      <c r="S196" s="29">
        <f t="shared" si="12"/>
        <v>0</v>
      </c>
      <c r="T196" s="8"/>
      <c r="U196" s="12"/>
      <c r="V196" s="12"/>
      <c r="W196" s="12"/>
      <c r="X196" s="12"/>
      <c r="Y196" s="12"/>
      <c r="Z196" s="8"/>
      <c r="AA196" s="8"/>
      <c r="AB196" s="8"/>
      <c r="AC196" s="8"/>
      <c r="AD196" s="8"/>
      <c r="AE196" s="8"/>
      <c r="AF196" s="8"/>
      <c r="AG196" s="8"/>
      <c r="AH196" s="8"/>
      <c r="AI196" s="29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162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39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31"/>
      <c r="DE196" s="31"/>
      <c r="DF196" s="31"/>
      <c r="DG196" s="31"/>
      <c r="DH196" s="31"/>
      <c r="DI196" s="31"/>
      <c r="DJ196" s="31"/>
      <c r="DK196" s="31"/>
      <c r="DL196" s="31"/>
      <c r="DM196" s="12"/>
    </row>
    <row r="197" spans="1:117" ht="18" customHeight="1">
      <c r="A197" s="59"/>
      <c r="B197" s="59"/>
      <c r="C197" s="59"/>
      <c r="D197" s="59"/>
      <c r="E197" s="59"/>
      <c r="F197" s="59"/>
      <c r="G197" s="50"/>
      <c r="H197" s="79"/>
      <c r="I197" s="52"/>
      <c r="J197" s="138"/>
      <c r="K197" s="138"/>
      <c r="L197" s="52"/>
      <c r="M197" s="89"/>
      <c r="N197" s="89"/>
      <c r="O197" s="52"/>
      <c r="P197" s="8"/>
      <c r="Q197" s="29">
        <f t="shared" si="10"/>
        <v>0</v>
      </c>
      <c r="R197" s="8">
        <f t="shared" si="14"/>
        <v>0</v>
      </c>
      <c r="S197" s="29">
        <f t="shared" si="12"/>
        <v>0</v>
      </c>
      <c r="T197" s="8"/>
      <c r="U197" s="12"/>
      <c r="V197" s="12"/>
      <c r="W197" s="12"/>
      <c r="X197" s="12"/>
      <c r="Y197" s="12"/>
      <c r="Z197" s="8"/>
      <c r="AA197" s="8"/>
      <c r="AB197" s="8"/>
      <c r="AC197" s="8"/>
      <c r="AD197" s="8"/>
      <c r="AE197" s="8"/>
      <c r="AF197" s="8"/>
      <c r="AG197" s="8"/>
      <c r="AH197" s="8"/>
      <c r="AI197" s="29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162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39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31"/>
      <c r="DE197" s="31"/>
      <c r="DF197" s="31"/>
      <c r="DG197" s="31"/>
      <c r="DH197" s="31"/>
      <c r="DI197" s="31"/>
      <c r="DJ197" s="31"/>
      <c r="DK197" s="31"/>
      <c r="DL197" s="31"/>
      <c r="DM197" s="12"/>
    </row>
    <row r="198" spans="1:117" ht="18" customHeight="1">
      <c r="A198" s="52"/>
      <c r="B198" s="59"/>
      <c r="C198" s="59"/>
      <c r="D198" s="54"/>
      <c r="E198" s="54"/>
      <c r="F198" s="54"/>
      <c r="G198" s="89"/>
      <c r="H198" s="79"/>
      <c r="I198" s="59"/>
      <c r="J198" s="142"/>
      <c r="K198" s="142"/>
      <c r="L198" s="52"/>
      <c r="M198" s="89"/>
      <c r="N198" s="89"/>
      <c r="O198" s="52"/>
      <c r="P198" s="11"/>
      <c r="Q198" s="29">
        <f t="shared" ref="Q198:Q205" si="15">G198+J198+M198+P198</f>
        <v>0</v>
      </c>
      <c r="R198" s="8">
        <f t="shared" ref="R198:R205" si="16">SUM(T198:DM198)</f>
        <v>0</v>
      </c>
      <c r="S198" s="29">
        <f t="shared" ref="S198:S205" si="17">Q198-R198</f>
        <v>0</v>
      </c>
      <c r="T198" s="8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31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63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39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31"/>
      <c r="DE198" s="31"/>
      <c r="DF198" s="31"/>
      <c r="DG198" s="31"/>
      <c r="DH198" s="31"/>
      <c r="DI198" s="31"/>
      <c r="DJ198" s="31"/>
      <c r="DK198" s="31"/>
      <c r="DL198" s="31"/>
      <c r="DM198" s="12"/>
    </row>
    <row r="199" spans="1:117" ht="18" customHeight="1">
      <c r="A199" s="52"/>
      <c r="B199" s="59"/>
      <c r="C199" s="59"/>
      <c r="D199" s="54"/>
      <c r="E199" s="54"/>
      <c r="F199" s="54"/>
      <c r="G199" s="89"/>
      <c r="H199" s="79"/>
      <c r="I199" s="59"/>
      <c r="J199" s="142"/>
      <c r="K199" s="142"/>
      <c r="L199" s="52"/>
      <c r="M199" s="89"/>
      <c r="N199" s="89"/>
      <c r="O199" s="52"/>
      <c r="P199" s="11"/>
      <c r="Q199" s="29">
        <f t="shared" si="15"/>
        <v>0</v>
      </c>
      <c r="R199" s="8">
        <f t="shared" si="16"/>
        <v>0</v>
      </c>
      <c r="S199" s="29">
        <f t="shared" si="17"/>
        <v>0</v>
      </c>
      <c r="T199" s="8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31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63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39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31"/>
      <c r="DE199" s="31"/>
      <c r="DF199" s="31"/>
      <c r="DG199" s="31"/>
      <c r="DH199" s="31"/>
      <c r="DI199" s="31"/>
      <c r="DJ199" s="31"/>
      <c r="DK199" s="31"/>
      <c r="DL199" s="31"/>
      <c r="DM199" s="12"/>
    </row>
    <row r="200" spans="1:117" ht="18" customHeight="1">
      <c r="A200" s="52"/>
      <c r="B200" s="52"/>
      <c r="C200" s="52"/>
      <c r="D200" s="54"/>
      <c r="E200" s="54"/>
      <c r="F200" s="54"/>
      <c r="G200" s="89"/>
      <c r="H200" s="79"/>
      <c r="I200" s="59"/>
      <c r="J200" s="142"/>
      <c r="K200" s="142"/>
      <c r="L200" s="52"/>
      <c r="M200" s="89"/>
      <c r="N200" s="89"/>
      <c r="O200" s="52"/>
      <c r="P200" s="11"/>
      <c r="Q200" s="29">
        <f t="shared" si="15"/>
        <v>0</v>
      </c>
      <c r="R200" s="8">
        <f t="shared" si="16"/>
        <v>0</v>
      </c>
      <c r="S200" s="29">
        <f t="shared" si="17"/>
        <v>0</v>
      </c>
      <c r="T200" s="8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31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63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39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31"/>
      <c r="DE200" s="31"/>
      <c r="DF200" s="31"/>
      <c r="DG200" s="31"/>
      <c r="DH200" s="31"/>
      <c r="DI200" s="31"/>
      <c r="DJ200" s="31"/>
      <c r="DK200" s="31"/>
      <c r="DL200" s="31"/>
      <c r="DM200" s="12"/>
    </row>
    <row r="201" spans="1:117" ht="18" customHeight="1">
      <c r="A201" s="59"/>
      <c r="B201" s="59"/>
      <c r="C201" s="59"/>
      <c r="D201" s="54"/>
      <c r="E201" s="54"/>
      <c r="F201" s="54"/>
      <c r="G201" s="89"/>
      <c r="H201" s="79"/>
      <c r="I201" s="59"/>
      <c r="J201" s="142"/>
      <c r="K201" s="142"/>
      <c r="L201" s="52"/>
      <c r="M201" s="89"/>
      <c r="N201" s="89"/>
      <c r="O201" s="52"/>
      <c r="P201" s="11"/>
      <c r="Q201" s="29">
        <f t="shared" si="15"/>
        <v>0</v>
      </c>
      <c r="R201" s="8">
        <f t="shared" si="16"/>
        <v>0</v>
      </c>
      <c r="S201" s="29">
        <f t="shared" si="17"/>
        <v>0</v>
      </c>
      <c r="T201" s="8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31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63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39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31"/>
      <c r="DE201" s="31"/>
      <c r="DF201" s="31"/>
      <c r="DG201" s="31"/>
      <c r="DH201" s="31"/>
      <c r="DI201" s="31"/>
      <c r="DJ201" s="31"/>
      <c r="DK201" s="31"/>
      <c r="DL201" s="31"/>
      <c r="DM201" s="12"/>
    </row>
    <row r="202" spans="1:117" ht="18" customHeight="1">
      <c r="A202" s="59"/>
      <c r="B202" s="59"/>
      <c r="C202" s="59"/>
      <c r="D202" s="54"/>
      <c r="E202" s="54"/>
      <c r="F202" s="54"/>
      <c r="G202" s="89"/>
      <c r="H202" s="79"/>
      <c r="I202" s="59"/>
      <c r="J202" s="142"/>
      <c r="K202" s="142"/>
      <c r="L202" s="52"/>
      <c r="M202" s="89"/>
      <c r="N202" s="89"/>
      <c r="O202" s="52"/>
      <c r="P202" s="11"/>
      <c r="Q202" s="29">
        <f t="shared" si="15"/>
        <v>0</v>
      </c>
      <c r="R202" s="8">
        <f t="shared" si="16"/>
        <v>0</v>
      </c>
      <c r="S202" s="29">
        <f t="shared" si="17"/>
        <v>0</v>
      </c>
      <c r="T202" s="8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31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63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39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31"/>
      <c r="DE202" s="31"/>
      <c r="DF202" s="31"/>
      <c r="DG202" s="31"/>
      <c r="DH202" s="31"/>
      <c r="DI202" s="31"/>
      <c r="DJ202" s="31"/>
      <c r="DK202" s="31"/>
      <c r="DL202" s="31"/>
      <c r="DM202" s="12"/>
    </row>
    <row r="203" spans="1:117" ht="18" customHeight="1">
      <c r="A203" s="59"/>
      <c r="B203" s="59"/>
      <c r="C203" s="59"/>
      <c r="D203" s="54"/>
      <c r="E203" s="54"/>
      <c r="F203" s="54"/>
      <c r="G203" s="89"/>
      <c r="H203" s="79"/>
      <c r="I203" s="59"/>
      <c r="J203" s="142"/>
      <c r="K203" s="142"/>
      <c r="L203" s="52"/>
      <c r="M203" s="89"/>
      <c r="N203" s="89"/>
      <c r="O203" s="52"/>
      <c r="P203" s="11"/>
      <c r="Q203" s="29">
        <f t="shared" si="15"/>
        <v>0</v>
      </c>
      <c r="R203" s="8">
        <f t="shared" si="16"/>
        <v>0</v>
      </c>
      <c r="S203" s="29">
        <f t="shared" si="17"/>
        <v>0</v>
      </c>
      <c r="T203" s="8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31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63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39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31"/>
      <c r="DE203" s="31"/>
      <c r="DF203" s="31"/>
      <c r="DG203" s="31"/>
      <c r="DH203" s="31"/>
      <c r="DI203" s="31"/>
      <c r="DJ203" s="31"/>
      <c r="DK203" s="31"/>
      <c r="DL203" s="31"/>
      <c r="DM203" s="12"/>
    </row>
    <row r="204" spans="1:117" ht="18" customHeight="1">
      <c r="A204" s="59"/>
      <c r="B204" s="59"/>
      <c r="C204" s="59"/>
      <c r="D204" s="54"/>
      <c r="E204" s="54"/>
      <c r="F204" s="54"/>
      <c r="G204" s="89"/>
      <c r="H204" s="79"/>
      <c r="I204" s="59"/>
      <c r="J204" s="142"/>
      <c r="K204" s="142"/>
      <c r="L204" s="52"/>
      <c r="M204" s="89"/>
      <c r="N204" s="89"/>
      <c r="O204" s="52"/>
      <c r="P204" s="11"/>
      <c r="Q204" s="29">
        <f t="shared" si="15"/>
        <v>0</v>
      </c>
      <c r="R204" s="8">
        <f t="shared" si="16"/>
        <v>0</v>
      </c>
      <c r="S204" s="29">
        <f t="shared" si="17"/>
        <v>0</v>
      </c>
      <c r="T204" s="8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31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63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39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31"/>
      <c r="DE204" s="31"/>
      <c r="DF204" s="31"/>
      <c r="DG204" s="31"/>
      <c r="DH204" s="31"/>
      <c r="DI204" s="31"/>
      <c r="DJ204" s="31"/>
      <c r="DK204" s="31"/>
      <c r="DL204" s="31"/>
      <c r="DM204" s="12"/>
    </row>
    <row r="205" spans="1:117" ht="18" customHeight="1">
      <c r="A205" s="59"/>
      <c r="B205" s="59"/>
      <c r="C205" s="59"/>
      <c r="D205" s="54"/>
      <c r="E205" s="54"/>
      <c r="F205" s="54"/>
      <c r="G205" s="89"/>
      <c r="H205" s="79"/>
      <c r="I205" s="59"/>
      <c r="J205" s="142"/>
      <c r="K205" s="142"/>
      <c r="L205" s="52"/>
      <c r="M205" s="89"/>
      <c r="N205" s="89"/>
      <c r="O205" s="52"/>
      <c r="P205" s="11"/>
      <c r="Q205" s="29">
        <f t="shared" si="15"/>
        <v>0</v>
      </c>
      <c r="R205" s="8">
        <f t="shared" si="16"/>
        <v>0</v>
      </c>
      <c r="S205" s="29">
        <f t="shared" si="17"/>
        <v>0</v>
      </c>
      <c r="T205" s="8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31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63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39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31"/>
      <c r="DE205" s="31"/>
      <c r="DF205" s="31"/>
      <c r="DG205" s="31"/>
      <c r="DH205" s="31"/>
      <c r="DI205" s="31"/>
      <c r="DJ205" s="31"/>
      <c r="DK205" s="31"/>
      <c r="DL205" s="31"/>
      <c r="DM205" s="12"/>
    </row>
    <row r="206" spans="1:117">
      <c r="A206" s="205" t="s">
        <v>461</v>
      </c>
      <c r="B206" s="206"/>
      <c r="C206" s="206"/>
      <c r="D206" s="207"/>
      <c r="E206" s="208"/>
      <c r="F206" s="209"/>
      <c r="G206" s="190">
        <f>SUM(G3:G205)</f>
        <v>5600</v>
      </c>
      <c r="H206" s="208"/>
      <c r="I206" s="209"/>
      <c r="J206" s="190">
        <f>SUM(J3:J205)</f>
        <v>559311</v>
      </c>
      <c r="K206" s="208"/>
      <c r="L206" s="209"/>
      <c r="M206" s="190">
        <f>SUM(M3:M205)</f>
        <v>6400</v>
      </c>
      <c r="N206" s="208"/>
      <c r="O206" s="209"/>
      <c r="P206" s="190">
        <f>SUM(P3:P205)</f>
        <v>0</v>
      </c>
      <c r="Q206" s="171">
        <f>SUM(Q3:Q205)</f>
        <v>571311</v>
      </c>
      <c r="R206" s="171">
        <f>SUM(R3:R205)</f>
        <v>0</v>
      </c>
      <c r="S206" s="5">
        <f>SUM(S3:S205)</f>
        <v>571311</v>
      </c>
      <c r="T206" s="5">
        <f ca="1">SUM(T3:T206)</f>
        <v>0</v>
      </c>
      <c r="U206" s="5">
        <f t="shared" ref="U206:CF206" ca="1" si="18">SUM(U3:U206)</f>
        <v>0</v>
      </c>
      <c r="V206" s="5">
        <f t="shared" ca="1" si="18"/>
        <v>0</v>
      </c>
      <c r="W206" s="5">
        <f t="shared" ca="1" si="18"/>
        <v>0</v>
      </c>
      <c r="X206" s="5">
        <f t="shared" ca="1" si="18"/>
        <v>0</v>
      </c>
      <c r="Y206" s="5">
        <f t="shared" ca="1" si="18"/>
        <v>0</v>
      </c>
      <c r="Z206" s="5">
        <f t="shared" ca="1" si="18"/>
        <v>0</v>
      </c>
      <c r="AA206" s="5">
        <f t="shared" ca="1" si="18"/>
        <v>0</v>
      </c>
      <c r="AB206" s="5">
        <f t="shared" ca="1" si="18"/>
        <v>0</v>
      </c>
      <c r="AC206" s="5">
        <f t="shared" ca="1" si="18"/>
        <v>0</v>
      </c>
      <c r="AD206" s="5">
        <f t="shared" ca="1" si="18"/>
        <v>0</v>
      </c>
      <c r="AE206" s="5">
        <f t="shared" ca="1" si="18"/>
        <v>0</v>
      </c>
      <c r="AF206" s="5">
        <f t="shared" ca="1" si="18"/>
        <v>0</v>
      </c>
      <c r="AG206" s="5">
        <f t="shared" ca="1" si="18"/>
        <v>0</v>
      </c>
      <c r="AH206" s="5">
        <f t="shared" ca="1" si="18"/>
        <v>0</v>
      </c>
      <c r="AI206" s="5">
        <f t="shared" ca="1" si="18"/>
        <v>0</v>
      </c>
      <c r="AJ206" s="5">
        <f t="shared" ca="1" si="18"/>
        <v>0</v>
      </c>
      <c r="AK206" s="5">
        <f t="shared" ca="1" si="18"/>
        <v>0</v>
      </c>
      <c r="AL206" s="5">
        <f t="shared" ca="1" si="18"/>
        <v>0</v>
      </c>
      <c r="AM206" s="5">
        <f t="shared" ca="1" si="18"/>
        <v>0</v>
      </c>
      <c r="AN206" s="5">
        <f t="shared" ca="1" si="18"/>
        <v>0</v>
      </c>
      <c r="AO206" s="5">
        <f t="shared" ca="1" si="18"/>
        <v>0</v>
      </c>
      <c r="AP206" s="5">
        <f t="shared" ca="1" si="18"/>
        <v>0</v>
      </c>
      <c r="AQ206" s="5">
        <f t="shared" ca="1" si="18"/>
        <v>0</v>
      </c>
      <c r="AR206" s="5">
        <f t="shared" ca="1" si="18"/>
        <v>0</v>
      </c>
      <c r="AS206" s="5">
        <f t="shared" ca="1" si="18"/>
        <v>0</v>
      </c>
      <c r="AT206" s="5">
        <f t="shared" ca="1" si="18"/>
        <v>0</v>
      </c>
      <c r="AU206" s="5">
        <f t="shared" ca="1" si="18"/>
        <v>0</v>
      </c>
      <c r="AV206" s="5">
        <f t="shared" ca="1" si="18"/>
        <v>0</v>
      </c>
      <c r="AW206" s="5">
        <f t="shared" ca="1" si="18"/>
        <v>0</v>
      </c>
      <c r="AX206" s="5">
        <f t="shared" ca="1" si="18"/>
        <v>0</v>
      </c>
      <c r="AY206" s="5">
        <f t="shared" ca="1" si="18"/>
        <v>0</v>
      </c>
      <c r="AZ206" s="5">
        <f t="shared" ca="1" si="18"/>
        <v>0</v>
      </c>
      <c r="BA206" s="5">
        <f t="shared" ca="1" si="18"/>
        <v>0</v>
      </c>
      <c r="BB206" s="5">
        <f t="shared" ca="1" si="18"/>
        <v>0</v>
      </c>
      <c r="BC206" s="5">
        <f t="shared" ca="1" si="18"/>
        <v>0</v>
      </c>
      <c r="BD206" s="5">
        <f t="shared" ca="1" si="18"/>
        <v>0</v>
      </c>
      <c r="BE206" s="5">
        <f t="shared" ca="1" si="18"/>
        <v>0</v>
      </c>
      <c r="BF206" s="5">
        <f t="shared" ca="1" si="18"/>
        <v>0</v>
      </c>
      <c r="BG206" s="5">
        <f t="shared" ca="1" si="18"/>
        <v>0</v>
      </c>
      <c r="BH206" s="5">
        <f t="shared" ca="1" si="18"/>
        <v>0</v>
      </c>
      <c r="BI206" s="5">
        <f t="shared" ca="1" si="18"/>
        <v>0</v>
      </c>
      <c r="BJ206" s="5">
        <f t="shared" ca="1" si="18"/>
        <v>0</v>
      </c>
      <c r="BK206" s="5">
        <f t="shared" ca="1" si="18"/>
        <v>0</v>
      </c>
      <c r="BL206" s="5">
        <f t="shared" ca="1" si="18"/>
        <v>0</v>
      </c>
      <c r="BM206" s="5">
        <f t="shared" ca="1" si="18"/>
        <v>0</v>
      </c>
      <c r="BN206" s="5">
        <f t="shared" ca="1" si="18"/>
        <v>0</v>
      </c>
      <c r="BO206" s="5">
        <f t="shared" ca="1" si="18"/>
        <v>0</v>
      </c>
      <c r="BP206" s="5">
        <f t="shared" ca="1" si="18"/>
        <v>0</v>
      </c>
      <c r="BQ206" s="5">
        <f t="shared" ca="1" si="18"/>
        <v>0</v>
      </c>
      <c r="BR206" s="5">
        <f t="shared" ca="1" si="18"/>
        <v>0</v>
      </c>
      <c r="BS206" s="5">
        <f t="shared" ca="1" si="18"/>
        <v>0</v>
      </c>
      <c r="BT206" s="5">
        <f t="shared" ca="1" si="18"/>
        <v>0</v>
      </c>
      <c r="BU206" s="5">
        <f t="shared" ca="1" si="18"/>
        <v>0</v>
      </c>
      <c r="BV206" s="5">
        <f t="shared" ca="1" si="18"/>
        <v>0</v>
      </c>
      <c r="BW206" s="5">
        <f t="shared" ca="1" si="18"/>
        <v>0</v>
      </c>
      <c r="BX206" s="5">
        <f t="shared" ca="1" si="18"/>
        <v>0</v>
      </c>
      <c r="BY206" s="5">
        <f t="shared" ca="1" si="18"/>
        <v>0</v>
      </c>
      <c r="BZ206" s="5">
        <f t="shared" ca="1" si="18"/>
        <v>0</v>
      </c>
      <c r="CA206" s="5">
        <f t="shared" ca="1" si="18"/>
        <v>0</v>
      </c>
      <c r="CB206" s="5">
        <f t="shared" ca="1" si="18"/>
        <v>0</v>
      </c>
      <c r="CC206" s="5">
        <f t="shared" ca="1" si="18"/>
        <v>0</v>
      </c>
      <c r="CD206" s="5">
        <f t="shared" ca="1" si="18"/>
        <v>0</v>
      </c>
      <c r="CE206" s="5">
        <f t="shared" ca="1" si="18"/>
        <v>0</v>
      </c>
      <c r="CF206" s="5">
        <f t="shared" ca="1" si="18"/>
        <v>0</v>
      </c>
      <c r="CG206" s="5">
        <f t="shared" ref="CG206:DM206" ca="1" si="19">SUM(CG3:CG206)</f>
        <v>0</v>
      </c>
      <c r="CH206" s="5">
        <f t="shared" ca="1" si="19"/>
        <v>0</v>
      </c>
      <c r="CI206" s="5">
        <f t="shared" ca="1" si="19"/>
        <v>0</v>
      </c>
      <c r="CJ206" s="5">
        <f t="shared" ca="1" si="19"/>
        <v>0</v>
      </c>
      <c r="CK206" s="5">
        <f t="shared" ca="1" si="19"/>
        <v>0</v>
      </c>
      <c r="CL206" s="5">
        <f t="shared" ca="1" si="19"/>
        <v>0</v>
      </c>
      <c r="CM206" s="5">
        <f t="shared" ca="1" si="19"/>
        <v>0</v>
      </c>
      <c r="CN206" s="5">
        <f t="shared" ca="1" si="19"/>
        <v>0</v>
      </c>
      <c r="CO206" s="5">
        <f t="shared" ca="1" si="19"/>
        <v>0</v>
      </c>
      <c r="CP206" s="5">
        <f t="shared" ca="1" si="19"/>
        <v>0</v>
      </c>
      <c r="CQ206" s="5">
        <f t="shared" ca="1" si="19"/>
        <v>0</v>
      </c>
      <c r="CR206" s="5">
        <f t="shared" ca="1" si="19"/>
        <v>0</v>
      </c>
      <c r="CS206" s="5">
        <f t="shared" ca="1" si="19"/>
        <v>0</v>
      </c>
      <c r="CT206" s="5">
        <f t="shared" ca="1" si="19"/>
        <v>0</v>
      </c>
      <c r="CU206" s="5">
        <f t="shared" ca="1" si="19"/>
        <v>0</v>
      </c>
      <c r="CV206" s="5">
        <f t="shared" ca="1" si="19"/>
        <v>0</v>
      </c>
      <c r="CW206" s="5">
        <f t="shared" ca="1" si="19"/>
        <v>0</v>
      </c>
      <c r="CX206" s="5">
        <f t="shared" ca="1" si="19"/>
        <v>0</v>
      </c>
      <c r="CY206" s="5">
        <f t="shared" ca="1" si="19"/>
        <v>0</v>
      </c>
      <c r="CZ206" s="5">
        <f t="shared" ca="1" si="19"/>
        <v>0</v>
      </c>
      <c r="DA206" s="5">
        <f t="shared" ca="1" si="19"/>
        <v>0</v>
      </c>
      <c r="DB206" s="5">
        <f t="shared" ca="1" si="19"/>
        <v>0</v>
      </c>
      <c r="DC206" s="5">
        <f t="shared" ca="1" si="19"/>
        <v>0</v>
      </c>
      <c r="DD206" s="5">
        <f t="shared" ca="1" si="19"/>
        <v>0</v>
      </c>
      <c r="DE206" s="5">
        <f t="shared" ca="1" si="19"/>
        <v>0</v>
      </c>
      <c r="DF206" s="5">
        <f t="shared" ca="1" si="19"/>
        <v>0</v>
      </c>
      <c r="DG206" s="5">
        <f t="shared" ca="1" si="19"/>
        <v>0</v>
      </c>
      <c r="DH206" s="5">
        <f t="shared" ca="1" si="19"/>
        <v>0</v>
      </c>
      <c r="DI206" s="5">
        <f t="shared" ca="1" si="19"/>
        <v>0</v>
      </c>
      <c r="DJ206" s="5">
        <f t="shared" ca="1" si="19"/>
        <v>0</v>
      </c>
      <c r="DK206" s="5">
        <f t="shared" ca="1" si="19"/>
        <v>0</v>
      </c>
      <c r="DL206" s="5">
        <f t="shared" ca="1" si="19"/>
        <v>0</v>
      </c>
      <c r="DM206" s="5">
        <f t="shared" ca="1" si="19"/>
        <v>0</v>
      </c>
    </row>
    <row r="208" spans="1:117">
      <c r="B208" s="85" t="s">
        <v>512</v>
      </c>
      <c r="C208" s="85"/>
      <c r="D208" s="56">
        <f>COUNTIF(B3:B206,"ZXS")</f>
        <v>161</v>
      </c>
    </row>
    <row r="209" spans="2:4">
      <c r="B209" s="86" t="s">
        <v>513</v>
      </c>
      <c r="C209" s="86"/>
      <c r="D209" s="57">
        <f>COUNTIF(B4:B206,"TFS")</f>
        <v>0</v>
      </c>
    </row>
    <row r="210" spans="2:4">
      <c r="B210" s="86" t="s">
        <v>515</v>
      </c>
      <c r="C210" s="86"/>
      <c r="D210" s="57">
        <f>COUNTIF(B4:B206,"YBS")</f>
        <v>29</v>
      </c>
    </row>
  </sheetData>
  <mergeCells count="9">
    <mergeCell ref="A1:S1"/>
    <mergeCell ref="T1:BC1"/>
    <mergeCell ref="BE1:CN1"/>
    <mergeCell ref="CP1:DM1"/>
    <mergeCell ref="A206:D206"/>
    <mergeCell ref="E206:F206"/>
    <mergeCell ref="H206:I206"/>
    <mergeCell ref="K206:L206"/>
    <mergeCell ref="N206:O206"/>
  </mergeCells>
  <phoneticPr fontId="46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Z198"/>
  <sheetViews>
    <sheetView workbookViewId="0">
      <pane ySplit="1" topLeftCell="A179" activePane="bottomLeft" state="frozen"/>
      <selection pane="bottomLeft" activeCell="V190" sqref="V190"/>
    </sheetView>
  </sheetViews>
  <sheetFormatPr defaultRowHeight="13.5"/>
  <cols>
    <col min="1" max="1" width="4.375" customWidth="1"/>
    <col min="2" max="2" width="5.125" customWidth="1"/>
    <col min="4" max="4" width="12.875" customWidth="1"/>
    <col min="5" max="5" width="11.25" customWidth="1"/>
    <col min="6" max="6" width="8.875" customWidth="1"/>
    <col min="7" max="8" width="9.375" customWidth="1"/>
    <col min="9" max="9" width="18.625" customWidth="1"/>
    <col min="10" max="10" width="15.25" customWidth="1"/>
    <col min="11" max="11" width="9.375" style="115" customWidth="1"/>
    <col min="12" max="12" width="10.75" style="115" customWidth="1"/>
    <col min="13" max="13" width="9.375" style="115" customWidth="1"/>
    <col min="14" max="14" width="8.875" style="115" customWidth="1"/>
    <col min="15" max="15" width="8.375" customWidth="1"/>
    <col min="16" max="16" width="9.125" customWidth="1"/>
    <col min="17" max="17" width="15.75" customWidth="1"/>
    <col min="18" max="18" width="9.875" customWidth="1"/>
    <col min="19" max="19" width="12.25" customWidth="1"/>
    <col min="20" max="20" width="15.375" customWidth="1"/>
    <col min="21" max="21" width="9.625" customWidth="1"/>
    <col min="23" max="24" width="9.375" customWidth="1"/>
    <col min="25" max="25" width="18" customWidth="1"/>
    <col min="26" max="26" width="18.75" customWidth="1"/>
  </cols>
  <sheetData>
    <row r="1" spans="1:104" s="7" customFormat="1" ht="36.75" customHeight="1">
      <c r="A1" s="76" t="s">
        <v>32</v>
      </c>
      <c r="B1" s="76" t="s">
        <v>33</v>
      </c>
      <c r="C1" s="76" t="s">
        <v>34</v>
      </c>
      <c r="D1" s="77" t="s">
        <v>565</v>
      </c>
      <c r="E1" s="77" t="s">
        <v>585</v>
      </c>
      <c r="F1" s="77" t="s">
        <v>342</v>
      </c>
      <c r="G1" s="112" t="s">
        <v>285</v>
      </c>
      <c r="H1" s="112" t="s">
        <v>288</v>
      </c>
      <c r="I1" s="77" t="s">
        <v>587</v>
      </c>
      <c r="J1" s="77" t="s">
        <v>586</v>
      </c>
      <c r="K1" s="134" t="s">
        <v>283</v>
      </c>
      <c r="L1" s="117" t="s">
        <v>127</v>
      </c>
      <c r="M1" s="134" t="s">
        <v>284</v>
      </c>
      <c r="N1" s="117" t="s">
        <v>127</v>
      </c>
      <c r="O1" s="77" t="s">
        <v>140</v>
      </c>
      <c r="P1" s="112" t="s">
        <v>286</v>
      </c>
      <c r="Q1" s="77" t="s">
        <v>141</v>
      </c>
      <c r="R1" s="112" t="s">
        <v>287</v>
      </c>
      <c r="S1" s="77" t="s">
        <v>141</v>
      </c>
      <c r="T1" s="77" t="s">
        <v>337</v>
      </c>
      <c r="U1" s="77" t="s">
        <v>94</v>
      </c>
      <c r="V1" s="77" t="s">
        <v>2</v>
      </c>
      <c r="W1" s="77" t="s">
        <v>210</v>
      </c>
      <c r="X1" s="77" t="s">
        <v>211</v>
      </c>
      <c r="Y1" s="78" t="s">
        <v>567</v>
      </c>
      <c r="Z1" s="78" t="s">
        <v>579</v>
      </c>
      <c r="AA1" s="44"/>
      <c r="AB1" s="1"/>
      <c r="AC1" s="1"/>
      <c r="AD1" s="1"/>
      <c r="AE1" s="1"/>
      <c r="AF1" s="1"/>
      <c r="AG1" s="1"/>
      <c r="AH1" s="25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6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5"/>
      <c r="BU1" s="1"/>
      <c r="BV1" s="1"/>
      <c r="BW1" s="1"/>
      <c r="BX1" s="1"/>
      <c r="BY1" s="1"/>
      <c r="BZ1" s="1"/>
      <c r="CA1" s="1"/>
      <c r="CB1" s="1"/>
      <c r="CC1" s="1"/>
      <c r="CD1" s="9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4"/>
      <c r="CW1" s="4"/>
      <c r="CX1" s="4"/>
      <c r="CY1" s="4"/>
      <c r="CZ1" s="10"/>
    </row>
    <row r="2" spans="1:104" ht="18" customHeight="1">
      <c r="A2" s="45">
        <v>1</v>
      </c>
      <c r="B2" s="74" t="s">
        <v>19</v>
      </c>
      <c r="C2" s="75" t="s">
        <v>20</v>
      </c>
      <c r="D2" s="70" t="s">
        <v>21</v>
      </c>
      <c r="E2" s="50">
        <f>16*60</f>
        <v>960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70"/>
      <c r="Z2" s="70"/>
    </row>
    <row r="3" spans="1:104" ht="18" customHeight="1">
      <c r="A3" s="45">
        <v>2</v>
      </c>
      <c r="B3" s="74" t="s">
        <v>19</v>
      </c>
      <c r="C3" s="73" t="s">
        <v>22</v>
      </c>
      <c r="D3" s="70" t="s">
        <v>23</v>
      </c>
      <c r="E3" s="50">
        <f>16*60</f>
        <v>960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70"/>
      <c r="Z3" s="70"/>
    </row>
    <row r="4" spans="1:104" ht="18" customHeight="1">
      <c r="A4" s="45">
        <v>3</v>
      </c>
      <c r="B4" s="74" t="s">
        <v>19</v>
      </c>
      <c r="C4" s="75" t="s">
        <v>24</v>
      </c>
      <c r="D4" s="70" t="s">
        <v>25</v>
      </c>
      <c r="E4" s="50"/>
      <c r="F4" s="50"/>
      <c r="G4" s="50">
        <f>55*16</f>
        <v>880</v>
      </c>
      <c r="H4" s="50"/>
      <c r="I4" s="50"/>
      <c r="J4" s="50">
        <f>55*16</f>
        <v>880</v>
      </c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70"/>
      <c r="Z4" s="70"/>
    </row>
    <row r="5" spans="1:104" ht="18" customHeight="1">
      <c r="A5" s="45">
        <v>4</v>
      </c>
      <c r="B5" s="74" t="s">
        <v>19</v>
      </c>
      <c r="C5" s="73" t="s">
        <v>26</v>
      </c>
      <c r="D5" s="70" t="s">
        <v>27</v>
      </c>
      <c r="E5" s="50"/>
      <c r="F5" s="50"/>
      <c r="G5" s="50"/>
      <c r="H5" s="50"/>
      <c r="I5" s="50">
        <f>16*100</f>
        <v>1600</v>
      </c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70"/>
      <c r="Z5" s="70"/>
    </row>
    <row r="6" spans="1:104" ht="18" customHeight="1">
      <c r="A6" s="45">
        <v>5</v>
      </c>
      <c r="B6" s="74" t="s">
        <v>19</v>
      </c>
      <c r="C6" s="73" t="s">
        <v>28</v>
      </c>
      <c r="D6" s="70" t="s">
        <v>29</v>
      </c>
      <c r="E6" s="50"/>
      <c r="F6" s="50"/>
      <c r="G6" s="50">
        <f>16*60</f>
        <v>960</v>
      </c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70"/>
      <c r="Z6" s="70"/>
    </row>
    <row r="7" spans="1:104" ht="18" customHeight="1">
      <c r="A7" s="45">
        <v>6</v>
      </c>
      <c r="B7" s="74" t="s">
        <v>19</v>
      </c>
      <c r="C7" s="73" t="s">
        <v>30</v>
      </c>
      <c r="D7" s="70" t="s">
        <v>31</v>
      </c>
      <c r="E7" s="50">
        <f>55*16-55*2</f>
        <v>770</v>
      </c>
      <c r="F7" s="50"/>
      <c r="G7" s="50"/>
      <c r="H7" s="50"/>
      <c r="I7" s="50"/>
      <c r="J7" s="50">
        <f>55*16</f>
        <v>880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70"/>
      <c r="Z7" s="70"/>
    </row>
    <row r="8" spans="1:104" ht="18" customHeight="1">
      <c r="A8" s="210" t="s">
        <v>240</v>
      </c>
      <c r="B8" s="211"/>
      <c r="C8" s="211"/>
      <c r="D8" s="212"/>
      <c r="E8" s="103">
        <f>SUM(E2:E7)</f>
        <v>2690</v>
      </c>
      <c r="F8" s="103"/>
      <c r="G8" s="103">
        <f>SUM(G2:G6)</f>
        <v>1840</v>
      </c>
      <c r="H8" s="103"/>
      <c r="I8" s="103">
        <f>SUM(I2:I7)</f>
        <v>1600</v>
      </c>
      <c r="J8" s="103">
        <f>SUM(J2:J7)</f>
        <v>1760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70"/>
      <c r="Z8" s="70"/>
    </row>
    <row r="9" spans="1:104" ht="18" customHeight="1">
      <c r="A9" s="100"/>
      <c r="B9" s="101"/>
      <c r="C9" s="102"/>
      <c r="D9" s="102"/>
      <c r="E9" s="88"/>
      <c r="F9" s="88"/>
      <c r="G9" s="88"/>
      <c r="H9" s="88"/>
      <c r="I9" s="88"/>
      <c r="J9" s="88"/>
      <c r="K9" s="50"/>
      <c r="L9" s="50"/>
      <c r="M9" s="50"/>
      <c r="N9" s="50"/>
      <c r="O9" s="88"/>
      <c r="P9" s="88"/>
      <c r="Q9" s="88"/>
      <c r="R9" s="88"/>
      <c r="S9" s="88"/>
      <c r="T9" s="88"/>
      <c r="U9" s="88"/>
      <c r="V9" s="88"/>
      <c r="W9" s="88"/>
      <c r="X9" s="88"/>
      <c r="Y9" s="102"/>
      <c r="Z9" s="102"/>
    </row>
    <row r="11" spans="1:104" ht="18" customHeight="1">
      <c r="A11" s="45">
        <v>1</v>
      </c>
      <c r="B11" s="74" t="s">
        <v>19</v>
      </c>
      <c r="C11" s="73" t="s">
        <v>93</v>
      </c>
      <c r="D11" s="71" t="s">
        <v>96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>
        <f>12*100</f>
        <v>1200</v>
      </c>
      <c r="V11" s="50"/>
      <c r="W11" s="50"/>
      <c r="X11" s="50"/>
      <c r="Y11" s="152" t="s">
        <v>97</v>
      </c>
      <c r="Z11" s="70"/>
    </row>
    <row r="12" spans="1:104" ht="18" customHeight="1">
      <c r="A12" s="45">
        <v>2</v>
      </c>
      <c r="B12" s="74" t="s">
        <v>19</v>
      </c>
      <c r="C12" s="73" t="s">
        <v>121</v>
      </c>
      <c r="D12" s="71" t="s">
        <v>122</v>
      </c>
      <c r="E12" s="50"/>
      <c r="F12" s="50"/>
      <c r="G12" s="50">
        <f>16*55</f>
        <v>880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70"/>
      <c r="Z12" s="70"/>
    </row>
    <row r="13" spans="1:104" ht="18" customHeight="1">
      <c r="A13" s="45">
        <v>3</v>
      </c>
      <c r="B13" s="74" t="s">
        <v>19</v>
      </c>
      <c r="C13" s="73" t="s">
        <v>126</v>
      </c>
      <c r="D13" s="71" t="s">
        <v>145</v>
      </c>
      <c r="E13" s="70"/>
      <c r="F13" s="70"/>
      <c r="G13" s="70"/>
      <c r="H13" s="70"/>
      <c r="I13" s="70"/>
      <c r="J13" s="50">
        <f>16*60</f>
        <v>960</v>
      </c>
      <c r="K13" s="50">
        <f>50*16</f>
        <v>800</v>
      </c>
      <c r="L13" s="50">
        <v>50</v>
      </c>
      <c r="M13" s="50"/>
      <c r="N13" s="50"/>
      <c r="O13" s="50"/>
      <c r="P13" s="50"/>
      <c r="Q13" s="50"/>
      <c r="R13" s="50"/>
      <c r="S13" s="50"/>
      <c r="T13" s="50"/>
      <c r="U13" s="70"/>
      <c r="V13" s="70"/>
      <c r="W13" s="70"/>
      <c r="X13" s="70"/>
      <c r="Y13" s="70"/>
      <c r="Z13" s="70"/>
    </row>
    <row r="14" spans="1:104" ht="18" customHeight="1">
      <c r="A14" s="45">
        <v>4</v>
      </c>
      <c r="B14" s="74" t="s">
        <v>19</v>
      </c>
      <c r="C14" s="73" t="s">
        <v>128</v>
      </c>
      <c r="D14" s="71" t="s">
        <v>129</v>
      </c>
      <c r="E14" s="70"/>
      <c r="F14" s="70"/>
      <c r="G14" s="70"/>
      <c r="H14" s="70"/>
      <c r="I14" s="70"/>
      <c r="J14" s="50"/>
      <c r="K14" s="50">
        <f>60*16</f>
        <v>960</v>
      </c>
      <c r="L14" s="50">
        <v>50</v>
      </c>
      <c r="M14" s="50"/>
      <c r="N14" s="50"/>
      <c r="O14" s="50"/>
      <c r="P14" s="50"/>
      <c r="Q14" s="50"/>
      <c r="R14" s="50"/>
      <c r="S14" s="50"/>
      <c r="T14" s="50"/>
      <c r="U14" s="70"/>
      <c r="V14" s="70"/>
      <c r="W14" s="70"/>
      <c r="X14" s="70"/>
      <c r="Y14" s="70"/>
      <c r="Z14" s="70"/>
    </row>
    <row r="15" spans="1:104" ht="18" customHeight="1">
      <c r="A15" s="45">
        <v>5</v>
      </c>
      <c r="B15" s="74" t="s">
        <v>19</v>
      </c>
      <c r="C15" s="73" t="s">
        <v>130</v>
      </c>
      <c r="D15" s="71" t="s">
        <v>129</v>
      </c>
      <c r="E15" s="70"/>
      <c r="F15" s="70"/>
      <c r="G15" s="70"/>
      <c r="H15" s="70"/>
      <c r="I15" s="70"/>
      <c r="J15" s="50">
        <f>16*60</f>
        <v>960</v>
      </c>
      <c r="K15" s="73"/>
      <c r="L15" s="73"/>
      <c r="M15" s="73"/>
      <c r="N15" s="73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104" ht="18" customHeight="1">
      <c r="A16" s="45">
        <v>6</v>
      </c>
      <c r="B16" s="74" t="s">
        <v>19</v>
      </c>
      <c r="C16" s="73" t="s">
        <v>131</v>
      </c>
      <c r="D16" s="71" t="s">
        <v>129</v>
      </c>
      <c r="E16" s="50">
        <f>16*60</f>
        <v>960</v>
      </c>
      <c r="F16" s="50"/>
      <c r="G16" s="70"/>
      <c r="H16" s="70"/>
      <c r="I16" s="70"/>
      <c r="J16" s="70"/>
      <c r="K16" s="73"/>
      <c r="L16" s="73"/>
      <c r="M16" s="73"/>
      <c r="N16" s="73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18" customHeight="1">
      <c r="A17" s="45">
        <v>7</v>
      </c>
      <c r="B17" s="74" t="s">
        <v>19</v>
      </c>
      <c r="C17" s="73" t="s">
        <v>132</v>
      </c>
      <c r="D17" s="71" t="s">
        <v>133</v>
      </c>
      <c r="E17" s="70"/>
      <c r="F17" s="70"/>
      <c r="G17" s="70"/>
      <c r="H17" s="70"/>
      <c r="I17" s="70"/>
      <c r="J17" s="70"/>
      <c r="K17" s="73"/>
      <c r="L17" s="50">
        <v>50</v>
      </c>
      <c r="M17" s="50"/>
      <c r="N17" s="50"/>
      <c r="O17" s="50"/>
      <c r="P17" s="50"/>
      <c r="Q17" s="50"/>
      <c r="R17" s="50"/>
      <c r="S17" s="50"/>
      <c r="T17" s="50"/>
      <c r="U17" s="70"/>
      <c r="V17" s="70"/>
      <c r="W17" s="70"/>
      <c r="X17" s="70"/>
      <c r="Y17" s="70"/>
      <c r="Z17" s="70"/>
    </row>
    <row r="18" spans="1:26" ht="18" customHeight="1">
      <c r="A18" s="45">
        <v>8</v>
      </c>
      <c r="B18" s="74" t="s">
        <v>19</v>
      </c>
      <c r="C18" s="73" t="s">
        <v>134</v>
      </c>
      <c r="D18" s="71" t="s">
        <v>136</v>
      </c>
      <c r="E18" s="50">
        <f>55*16</f>
        <v>880</v>
      </c>
      <c r="F18" s="50"/>
      <c r="G18" s="50"/>
      <c r="H18" s="50"/>
      <c r="I18" s="50"/>
      <c r="J18" s="50"/>
      <c r="K18" s="50">
        <f>55*16</f>
        <v>880</v>
      </c>
      <c r="L18" s="50">
        <v>50</v>
      </c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70"/>
      <c r="Z18" s="70"/>
    </row>
    <row r="19" spans="1:26" ht="18" customHeight="1">
      <c r="A19" s="45">
        <v>9</v>
      </c>
      <c r="B19" s="74" t="s">
        <v>19</v>
      </c>
      <c r="C19" s="73" t="s">
        <v>135</v>
      </c>
      <c r="D19" s="71" t="s">
        <v>137</v>
      </c>
      <c r="E19" s="50"/>
      <c r="F19" s="50"/>
      <c r="G19" s="50"/>
      <c r="H19" s="50"/>
      <c r="I19" s="50">
        <f>16*100</f>
        <v>1600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70"/>
      <c r="Z19" s="70"/>
    </row>
    <row r="20" spans="1:26" ht="18" customHeight="1">
      <c r="A20" s="45">
        <v>10</v>
      </c>
      <c r="B20" s="74" t="s">
        <v>19</v>
      </c>
      <c r="C20" s="73" t="s">
        <v>138</v>
      </c>
      <c r="D20" s="71" t="s">
        <v>139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>
        <f>55*16</f>
        <v>880</v>
      </c>
      <c r="P20" s="50">
        <f>55*16</f>
        <v>880</v>
      </c>
      <c r="Q20" s="50">
        <v>50</v>
      </c>
      <c r="R20" s="50"/>
      <c r="S20" s="50"/>
      <c r="T20" s="50"/>
      <c r="U20" s="50"/>
      <c r="V20" s="50"/>
      <c r="W20" s="50"/>
      <c r="X20" s="50"/>
      <c r="Y20" s="70"/>
      <c r="Z20" s="70"/>
    </row>
    <row r="21" spans="1:26" ht="18" customHeight="1">
      <c r="A21" s="45">
        <v>11</v>
      </c>
      <c r="B21" s="74" t="s">
        <v>19</v>
      </c>
      <c r="C21" s="73" t="s">
        <v>142</v>
      </c>
      <c r="D21" s="71" t="s">
        <v>139</v>
      </c>
      <c r="E21" s="50"/>
      <c r="F21" s="50"/>
      <c r="G21" s="50">
        <f>50*16</f>
        <v>800</v>
      </c>
      <c r="H21" s="50"/>
      <c r="I21" s="50"/>
      <c r="J21" s="50"/>
      <c r="K21" s="50">
        <f>50*16</f>
        <v>800</v>
      </c>
      <c r="L21" s="50">
        <v>50</v>
      </c>
      <c r="M21" s="50"/>
      <c r="N21" s="50"/>
      <c r="O21" s="50"/>
      <c r="P21" s="50">
        <f>50*16</f>
        <v>800</v>
      </c>
      <c r="Q21" s="50">
        <v>50</v>
      </c>
      <c r="R21" s="50"/>
      <c r="S21" s="50"/>
      <c r="T21" s="50"/>
      <c r="U21" s="50"/>
      <c r="V21" s="50"/>
      <c r="W21" s="50"/>
      <c r="X21" s="50"/>
      <c r="Y21" s="70"/>
      <c r="Z21" s="70"/>
    </row>
    <row r="22" spans="1:26" ht="18" customHeight="1">
      <c r="A22" s="45">
        <v>12</v>
      </c>
      <c r="B22" s="74" t="s">
        <v>19</v>
      </c>
      <c r="C22" s="73" t="s">
        <v>143</v>
      </c>
      <c r="D22" s="71" t="s">
        <v>139</v>
      </c>
      <c r="E22" s="50"/>
      <c r="F22" s="50"/>
      <c r="G22" s="50">
        <f>50*16</f>
        <v>800</v>
      </c>
      <c r="H22" s="50"/>
      <c r="I22" s="50"/>
      <c r="J22" s="50"/>
      <c r="K22" s="50">
        <f>50*16</f>
        <v>800</v>
      </c>
      <c r="L22" s="50">
        <v>50</v>
      </c>
      <c r="M22" s="50"/>
      <c r="N22" s="50"/>
      <c r="O22" s="50"/>
      <c r="P22" s="50">
        <f>50*16</f>
        <v>800</v>
      </c>
      <c r="Q22" s="50">
        <v>50</v>
      </c>
      <c r="R22" s="50"/>
      <c r="S22" s="50"/>
      <c r="T22" s="50"/>
      <c r="U22" s="50"/>
      <c r="V22" s="50"/>
      <c r="W22" s="50"/>
      <c r="X22" s="50"/>
      <c r="Y22" s="70"/>
      <c r="Z22" s="70"/>
    </row>
    <row r="23" spans="1:26" ht="18" customHeight="1">
      <c r="A23" s="45">
        <v>13</v>
      </c>
      <c r="B23" s="74" t="s">
        <v>19</v>
      </c>
      <c r="C23" s="73" t="s">
        <v>144</v>
      </c>
      <c r="D23" s="71" t="s">
        <v>139</v>
      </c>
      <c r="E23" s="50">
        <f>55*16</f>
        <v>880</v>
      </c>
      <c r="F23" s="50"/>
      <c r="G23" s="50"/>
      <c r="H23" s="50"/>
      <c r="I23" s="50"/>
      <c r="J23" s="50">
        <f>55*16</f>
        <v>880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70"/>
      <c r="Z23" s="70"/>
    </row>
    <row r="24" spans="1:26" ht="18" customHeight="1">
      <c r="A24" s="45">
        <v>14</v>
      </c>
      <c r="B24" s="74" t="s">
        <v>19</v>
      </c>
      <c r="C24" s="73" t="s">
        <v>146</v>
      </c>
      <c r="D24" s="71" t="s">
        <v>147</v>
      </c>
      <c r="E24" s="50"/>
      <c r="F24" s="50"/>
      <c r="G24" s="50">
        <f>16*60</f>
        <v>960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70"/>
      <c r="Z24" s="70"/>
    </row>
    <row r="25" spans="1:26" ht="18" customHeight="1">
      <c r="A25" s="45">
        <v>15</v>
      </c>
      <c r="B25" s="74" t="s">
        <v>19</v>
      </c>
      <c r="C25" s="73" t="s">
        <v>148</v>
      </c>
      <c r="D25" s="71" t="s">
        <v>149</v>
      </c>
      <c r="E25" s="50">
        <f>16*60</f>
        <v>960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70"/>
      <c r="Z25" s="70"/>
    </row>
    <row r="26" spans="1:26" ht="18" customHeight="1">
      <c r="A26" s="45">
        <v>16</v>
      </c>
      <c r="B26" s="74" t="s">
        <v>19</v>
      </c>
      <c r="C26" s="73" t="s">
        <v>150</v>
      </c>
      <c r="D26" s="71" t="s">
        <v>151</v>
      </c>
      <c r="E26" s="50"/>
      <c r="F26" s="50"/>
      <c r="G26" s="50"/>
      <c r="H26" s="50"/>
      <c r="I26" s="50"/>
      <c r="J26" s="50">
        <f>16*60</f>
        <v>960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70"/>
      <c r="Z26" s="70"/>
    </row>
    <row r="27" spans="1:26" ht="18" customHeight="1">
      <c r="A27" s="45">
        <v>17</v>
      </c>
      <c r="B27" s="74" t="s">
        <v>19</v>
      </c>
      <c r="C27" s="73" t="s">
        <v>152</v>
      </c>
      <c r="D27" s="71" t="s">
        <v>151</v>
      </c>
      <c r="E27" s="50"/>
      <c r="F27" s="50"/>
      <c r="G27" s="50">
        <f>60*16</f>
        <v>960</v>
      </c>
      <c r="H27" s="50"/>
      <c r="I27" s="50">
        <f>16*100</f>
        <v>1600</v>
      </c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70"/>
      <c r="Z27" s="70"/>
    </row>
    <row r="28" spans="1:26" ht="18" customHeight="1">
      <c r="A28" s="45">
        <v>18</v>
      </c>
      <c r="B28" s="74" t="s">
        <v>19</v>
      </c>
      <c r="C28" s="73" t="s">
        <v>153</v>
      </c>
      <c r="D28" s="71" t="s">
        <v>151</v>
      </c>
      <c r="E28" s="50"/>
      <c r="F28" s="50"/>
      <c r="G28" s="50">
        <f>55*16</f>
        <v>880</v>
      </c>
      <c r="H28" s="50"/>
      <c r="I28" s="50"/>
      <c r="J28" s="50"/>
      <c r="K28" s="50"/>
      <c r="L28" s="50"/>
      <c r="M28" s="50"/>
      <c r="N28" s="50"/>
      <c r="O28" s="50"/>
      <c r="P28" s="50">
        <f>55*16</f>
        <v>880</v>
      </c>
      <c r="Q28" s="50">
        <v>50</v>
      </c>
      <c r="R28" s="50"/>
      <c r="S28" s="50"/>
      <c r="T28" s="50"/>
      <c r="U28" s="50"/>
      <c r="V28" s="50"/>
      <c r="W28" s="50"/>
      <c r="X28" s="50"/>
      <c r="Y28" s="70"/>
      <c r="Z28" s="70"/>
    </row>
    <row r="29" spans="1:26" ht="18" customHeight="1">
      <c r="A29" s="45">
        <v>19</v>
      </c>
      <c r="B29" s="74" t="s">
        <v>19</v>
      </c>
      <c r="C29" s="73" t="s">
        <v>155</v>
      </c>
      <c r="D29" s="71" t="s">
        <v>156</v>
      </c>
      <c r="E29" s="70"/>
      <c r="F29" s="70"/>
      <c r="G29" s="70"/>
      <c r="H29" s="70"/>
      <c r="I29" s="50">
        <f>16*100</f>
        <v>1600</v>
      </c>
      <c r="J29" s="50">
        <f>60*16</f>
        <v>960</v>
      </c>
      <c r="K29" s="50"/>
      <c r="L29" s="50"/>
      <c r="M29" s="50"/>
      <c r="N29" s="50"/>
      <c r="O29" s="50"/>
      <c r="P29" s="5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18" customHeight="1">
      <c r="A30" s="45">
        <v>20</v>
      </c>
      <c r="B30" s="74" t="s">
        <v>19</v>
      </c>
      <c r="C30" s="73" t="s">
        <v>157</v>
      </c>
      <c r="D30" s="71" t="s">
        <v>158</v>
      </c>
      <c r="E30" s="70"/>
      <c r="F30" s="70"/>
      <c r="G30" s="70"/>
      <c r="H30" s="70"/>
      <c r="I30" s="50"/>
      <c r="J30" s="50"/>
      <c r="K30" s="50"/>
      <c r="L30" s="50"/>
      <c r="M30" s="50"/>
      <c r="N30" s="50"/>
      <c r="O30" s="50">
        <f>16*60</f>
        <v>960</v>
      </c>
      <c r="P30" s="50"/>
      <c r="Q30" s="70"/>
      <c r="R30" s="70"/>
      <c r="S30" s="70"/>
      <c r="T30" s="70"/>
      <c r="U30" s="70"/>
      <c r="V30" s="70"/>
      <c r="W30" s="70"/>
      <c r="X30" s="70"/>
      <c r="Y30" s="70"/>
      <c r="Z30" s="72"/>
    </row>
    <row r="31" spans="1:26" ht="18" customHeight="1">
      <c r="A31" s="45">
        <v>21</v>
      </c>
      <c r="B31" s="74" t="s">
        <v>19</v>
      </c>
      <c r="C31" s="73" t="s">
        <v>159</v>
      </c>
      <c r="D31" s="71" t="s">
        <v>184</v>
      </c>
      <c r="E31" s="50">
        <f>50*16</f>
        <v>800</v>
      </c>
      <c r="F31" s="50"/>
      <c r="G31" s="50"/>
      <c r="H31" s="50"/>
      <c r="I31" s="50">
        <f>16*100</f>
        <v>1600</v>
      </c>
      <c r="J31" s="50"/>
      <c r="K31" s="50">
        <f>50*16</f>
        <v>800</v>
      </c>
      <c r="L31" s="50">
        <v>50</v>
      </c>
      <c r="M31" s="50"/>
      <c r="N31" s="50"/>
      <c r="O31" s="50"/>
      <c r="P31" s="50">
        <f>50*16</f>
        <v>800</v>
      </c>
      <c r="Q31" s="70">
        <v>50</v>
      </c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18" customHeight="1">
      <c r="A32" s="45">
        <v>22</v>
      </c>
      <c r="B32" s="74" t="s">
        <v>19</v>
      </c>
      <c r="C32" s="73" t="s">
        <v>162</v>
      </c>
      <c r="D32" s="71" t="s">
        <v>161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>
        <f>16*60</f>
        <v>960</v>
      </c>
      <c r="P32" s="50"/>
      <c r="Q32" s="50"/>
      <c r="R32" s="50"/>
      <c r="S32" s="50"/>
      <c r="T32" s="50"/>
      <c r="U32" s="50"/>
      <c r="V32" s="50"/>
      <c r="W32" s="50"/>
      <c r="X32" s="50"/>
      <c r="Y32" s="71"/>
      <c r="Z32" s="70"/>
    </row>
    <row r="33" spans="1:26" ht="18" customHeight="1">
      <c r="A33" s="45">
        <v>23</v>
      </c>
      <c r="B33" s="74" t="s">
        <v>19</v>
      </c>
      <c r="C33" s="73" t="s">
        <v>163</v>
      </c>
      <c r="D33" s="71" t="s">
        <v>161</v>
      </c>
      <c r="E33" s="50">
        <f>55*16</f>
        <v>880</v>
      </c>
      <c r="F33" s="50"/>
      <c r="G33" s="50"/>
      <c r="H33" s="50"/>
      <c r="I33" s="50"/>
      <c r="J33" s="50"/>
      <c r="K33" s="50"/>
      <c r="L33" s="50"/>
      <c r="M33" s="50"/>
      <c r="N33" s="50"/>
      <c r="O33" s="50">
        <f>55*16</f>
        <v>880</v>
      </c>
      <c r="P33" s="50"/>
      <c r="Q33" s="50"/>
      <c r="R33" s="50"/>
      <c r="S33" s="50"/>
      <c r="T33" s="50"/>
      <c r="U33" s="50"/>
      <c r="V33" s="50"/>
      <c r="W33" s="50"/>
      <c r="X33" s="50"/>
      <c r="Y33" s="71"/>
      <c r="Z33" s="70"/>
    </row>
    <row r="34" spans="1:26" ht="18" customHeight="1">
      <c r="A34" s="45">
        <v>24</v>
      </c>
      <c r="B34" s="74" t="s">
        <v>19</v>
      </c>
      <c r="C34" s="73" t="s">
        <v>164</v>
      </c>
      <c r="D34" s="71" t="s">
        <v>181</v>
      </c>
      <c r="E34" s="50"/>
      <c r="F34" s="50"/>
      <c r="G34" s="50"/>
      <c r="H34" s="50"/>
      <c r="I34" s="50">
        <f>16*100</f>
        <v>1600</v>
      </c>
      <c r="J34" s="50">
        <f>60*16</f>
        <v>960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71"/>
      <c r="Z34" s="70"/>
    </row>
    <row r="35" spans="1:26" ht="18" customHeight="1">
      <c r="A35" s="45">
        <v>25</v>
      </c>
      <c r="B35" s="74" t="s">
        <v>19</v>
      </c>
      <c r="C35" s="73" t="s">
        <v>165</v>
      </c>
      <c r="D35" s="71" t="s">
        <v>166</v>
      </c>
      <c r="E35" s="50">
        <f>50*16</f>
        <v>800</v>
      </c>
      <c r="F35" s="50"/>
      <c r="G35" s="50"/>
      <c r="H35" s="50"/>
      <c r="I35" s="50">
        <f>16*100</f>
        <v>1600</v>
      </c>
      <c r="J35" s="50">
        <f>50*16</f>
        <v>800</v>
      </c>
      <c r="K35" s="50"/>
      <c r="L35" s="50"/>
      <c r="M35" s="50"/>
      <c r="N35" s="50"/>
      <c r="O35" s="50">
        <f>50*16</f>
        <v>800</v>
      </c>
      <c r="P35" s="50">
        <f>50*16</f>
        <v>800</v>
      </c>
      <c r="Q35" s="50">
        <v>50</v>
      </c>
      <c r="R35" s="50"/>
      <c r="S35" s="50"/>
      <c r="T35" s="50"/>
      <c r="U35" s="50"/>
      <c r="V35" s="50"/>
      <c r="W35" s="50"/>
      <c r="X35" s="50"/>
      <c r="Y35" s="71"/>
      <c r="Z35" s="70"/>
    </row>
    <row r="36" spans="1:26" ht="18" customHeight="1">
      <c r="A36" s="45">
        <v>26</v>
      </c>
      <c r="B36" s="74" t="s">
        <v>19</v>
      </c>
      <c r="C36" s="73" t="s">
        <v>167</v>
      </c>
      <c r="D36" s="71" t="s">
        <v>168</v>
      </c>
      <c r="E36" s="50"/>
      <c r="F36" s="50"/>
      <c r="G36" s="50"/>
      <c r="H36" s="50"/>
      <c r="I36" s="50"/>
      <c r="J36" s="50"/>
      <c r="K36" s="50">
        <f>55*16</f>
        <v>880</v>
      </c>
      <c r="L36" s="50">
        <v>50</v>
      </c>
      <c r="M36" s="50"/>
      <c r="N36" s="50"/>
      <c r="O36" s="50"/>
      <c r="P36" s="50">
        <f>55*16</f>
        <v>880</v>
      </c>
      <c r="Q36" s="50">
        <v>50</v>
      </c>
      <c r="R36" s="50"/>
      <c r="S36" s="50"/>
      <c r="T36" s="50"/>
      <c r="U36" s="50"/>
      <c r="V36" s="50"/>
      <c r="W36" s="50"/>
      <c r="X36" s="50"/>
      <c r="Y36" s="71"/>
      <c r="Z36" s="70"/>
    </row>
    <row r="37" spans="1:26" ht="18" customHeight="1">
      <c r="A37" s="45">
        <v>27</v>
      </c>
      <c r="B37" s="74" t="s">
        <v>19</v>
      </c>
      <c r="C37" s="73" t="s">
        <v>169</v>
      </c>
      <c r="D37" s="71" t="s">
        <v>172</v>
      </c>
      <c r="E37" s="50"/>
      <c r="F37" s="50"/>
      <c r="G37" s="50"/>
      <c r="H37" s="50"/>
      <c r="I37" s="50">
        <f>16*100</f>
        <v>1600</v>
      </c>
      <c r="J37" s="50"/>
      <c r="K37" s="50">
        <f>60*16</f>
        <v>960</v>
      </c>
      <c r="L37" s="50">
        <v>50</v>
      </c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71"/>
      <c r="Z37" s="70"/>
    </row>
    <row r="38" spans="1:26" ht="18" customHeight="1">
      <c r="A38" s="45">
        <v>28</v>
      </c>
      <c r="B38" s="74" t="s">
        <v>19</v>
      </c>
      <c r="C38" s="73" t="s">
        <v>170</v>
      </c>
      <c r="D38" s="71" t="s">
        <v>171</v>
      </c>
      <c r="E38" s="50">
        <f>50*16</f>
        <v>800</v>
      </c>
      <c r="F38" s="50"/>
      <c r="G38" s="50"/>
      <c r="H38" s="50"/>
      <c r="I38" s="50"/>
      <c r="J38" s="50">
        <f>50*16</f>
        <v>800</v>
      </c>
      <c r="K38" s="50"/>
      <c r="L38" s="50"/>
      <c r="M38" s="50"/>
      <c r="N38" s="50"/>
      <c r="O38" s="50">
        <f>50*16</f>
        <v>800</v>
      </c>
      <c r="P38" s="50"/>
      <c r="Q38" s="50"/>
      <c r="R38" s="50"/>
      <c r="S38" s="50"/>
      <c r="T38" s="50"/>
      <c r="U38" s="50"/>
      <c r="V38" s="50"/>
      <c r="W38" s="50"/>
      <c r="X38" s="50"/>
      <c r="Y38" s="71"/>
      <c r="Z38" s="70"/>
    </row>
    <row r="39" spans="1:26" ht="18" customHeight="1">
      <c r="A39" s="45">
        <v>29</v>
      </c>
      <c r="B39" s="74" t="s">
        <v>19</v>
      </c>
      <c r="C39" s="73" t="s">
        <v>160</v>
      </c>
      <c r="D39" s="71" t="s">
        <v>175</v>
      </c>
      <c r="E39" s="50"/>
      <c r="F39" s="50"/>
      <c r="G39" s="50">
        <f>16*60</f>
        <v>960</v>
      </c>
      <c r="H39" s="50"/>
      <c r="I39" s="50"/>
      <c r="J39" s="70"/>
      <c r="K39" s="73"/>
      <c r="L39" s="73"/>
      <c r="M39" s="73"/>
      <c r="N39" s="73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18" customHeight="1">
      <c r="A40" s="45">
        <v>30</v>
      </c>
      <c r="B40" s="74" t="s">
        <v>19</v>
      </c>
      <c r="C40" s="73" t="s">
        <v>173</v>
      </c>
      <c r="D40" s="71" t="s">
        <v>174</v>
      </c>
      <c r="E40" s="103"/>
      <c r="F40" s="103"/>
      <c r="G40" s="50">
        <f>60*16</f>
        <v>960</v>
      </c>
      <c r="H40" s="50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50"/>
      <c r="V40" s="50"/>
      <c r="W40" s="50"/>
      <c r="X40" s="50"/>
      <c r="Y40" s="71"/>
      <c r="Z40" s="70"/>
    </row>
    <row r="41" spans="1:26" ht="18" customHeight="1">
      <c r="A41" s="45">
        <v>31</v>
      </c>
      <c r="B41" s="74" t="s">
        <v>19</v>
      </c>
      <c r="C41" s="73" t="s">
        <v>176</v>
      </c>
      <c r="D41" s="71" t="s">
        <v>177</v>
      </c>
      <c r="E41" s="50">
        <f>16*60</f>
        <v>960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71"/>
      <c r="Z41" s="70"/>
    </row>
    <row r="42" spans="1:26" ht="18" customHeight="1">
      <c r="A42" s="45">
        <v>32</v>
      </c>
      <c r="B42" s="74" t="s">
        <v>19</v>
      </c>
      <c r="C42" s="73" t="s">
        <v>185</v>
      </c>
      <c r="D42" s="71" t="s">
        <v>186</v>
      </c>
      <c r="E42" s="50"/>
      <c r="F42" s="50"/>
      <c r="G42" s="50">
        <f>60*16</f>
        <v>960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71"/>
      <c r="Z42" s="70"/>
    </row>
    <row r="43" spans="1:26" ht="18" customHeight="1">
      <c r="A43" s="45">
        <v>33</v>
      </c>
      <c r="B43" s="74" t="s">
        <v>19</v>
      </c>
      <c r="C43" s="70" t="s">
        <v>188</v>
      </c>
      <c r="D43" s="71" t="s">
        <v>189</v>
      </c>
      <c r="E43" s="50"/>
      <c r="F43" s="50"/>
      <c r="G43" s="50">
        <f>60*16</f>
        <v>960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71"/>
      <c r="Z43" s="70"/>
    </row>
    <row r="44" spans="1:26" ht="18" customHeight="1">
      <c r="A44" s="45">
        <v>34</v>
      </c>
      <c r="B44" s="74" t="s">
        <v>19</v>
      </c>
      <c r="C44" s="73" t="s">
        <v>190</v>
      </c>
      <c r="D44" s="71" t="s">
        <v>189</v>
      </c>
      <c r="E44" s="50"/>
      <c r="F44" s="50"/>
      <c r="G44" s="50"/>
      <c r="H44" s="50"/>
      <c r="I44" s="50"/>
      <c r="J44" s="50">
        <f>60*16</f>
        <v>960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70"/>
      <c r="Z44" s="70"/>
    </row>
    <row r="45" spans="1:26" ht="18" customHeight="1">
      <c r="A45" s="45">
        <v>35</v>
      </c>
      <c r="B45" s="74" t="s">
        <v>19</v>
      </c>
      <c r="C45" s="73" t="s">
        <v>191</v>
      </c>
      <c r="D45" s="71" t="s">
        <v>195</v>
      </c>
      <c r="E45" s="50"/>
      <c r="F45" s="50"/>
      <c r="G45" s="50">
        <f>55*16</f>
        <v>880</v>
      </c>
      <c r="H45" s="50"/>
      <c r="I45" s="50"/>
      <c r="J45" s="50">
        <f>55*16</f>
        <v>880</v>
      </c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71"/>
      <c r="Z45" s="70"/>
    </row>
    <row r="46" spans="1:26" ht="18" customHeight="1">
      <c r="A46" s="45">
        <v>36</v>
      </c>
      <c r="B46" s="74" t="s">
        <v>473</v>
      </c>
      <c r="C46" s="73" t="s">
        <v>196</v>
      </c>
      <c r="D46" s="71" t="s">
        <v>197</v>
      </c>
      <c r="E46" s="50">
        <f>50*16</f>
        <v>800</v>
      </c>
      <c r="F46" s="50"/>
      <c r="G46" s="50"/>
      <c r="H46" s="50"/>
      <c r="I46" s="50"/>
      <c r="J46" s="50"/>
      <c r="K46" s="50">
        <f>50*16</f>
        <v>800</v>
      </c>
      <c r="L46" s="50">
        <v>50</v>
      </c>
      <c r="M46" s="50"/>
      <c r="N46" s="50"/>
      <c r="O46" s="50"/>
      <c r="P46" s="50">
        <f>50*16</f>
        <v>800</v>
      </c>
      <c r="Q46" s="50">
        <v>50</v>
      </c>
      <c r="R46" s="50"/>
      <c r="S46" s="50"/>
      <c r="T46" s="50"/>
      <c r="U46" s="50"/>
      <c r="V46" s="50"/>
      <c r="W46" s="50"/>
      <c r="X46" s="50"/>
      <c r="Y46" s="71"/>
      <c r="Z46" s="70"/>
    </row>
    <row r="47" spans="1:26" ht="18" customHeight="1">
      <c r="A47" s="45">
        <v>37</v>
      </c>
      <c r="B47" s="74" t="s">
        <v>473</v>
      </c>
      <c r="C47" s="73" t="s">
        <v>198</v>
      </c>
      <c r="D47" s="71" t="s">
        <v>199</v>
      </c>
      <c r="E47" s="50"/>
      <c r="F47" s="50"/>
      <c r="G47" s="50"/>
      <c r="H47" s="50"/>
      <c r="I47" s="50">
        <f>16*100</f>
        <v>1600</v>
      </c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71"/>
      <c r="Z47" s="70"/>
    </row>
    <row r="48" spans="1:26" ht="21" customHeight="1">
      <c r="A48" s="45">
        <v>38</v>
      </c>
      <c r="B48" s="74" t="s">
        <v>473</v>
      </c>
      <c r="C48" s="73" t="s">
        <v>561</v>
      </c>
      <c r="D48" s="71" t="s">
        <v>200</v>
      </c>
      <c r="E48" s="50"/>
      <c r="F48" s="50"/>
      <c r="G48" s="50">
        <f>16*60</f>
        <v>960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71"/>
      <c r="Z48" s="70"/>
    </row>
    <row r="49" spans="1:26" ht="18" customHeight="1">
      <c r="A49" s="45">
        <v>39</v>
      </c>
      <c r="B49" s="74" t="s">
        <v>514</v>
      </c>
      <c r="C49" s="73" t="s">
        <v>118</v>
      </c>
      <c r="D49" s="71" t="s">
        <v>201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>
        <f>1200-1200</f>
        <v>0</v>
      </c>
      <c r="V49" s="50"/>
      <c r="W49" s="50"/>
      <c r="X49" s="50"/>
      <c r="Y49" s="71"/>
      <c r="Z49" s="70"/>
    </row>
    <row r="50" spans="1:26" ht="20.25" customHeight="1">
      <c r="A50" s="45">
        <v>40</v>
      </c>
      <c r="B50" s="74" t="s">
        <v>473</v>
      </c>
      <c r="C50" s="73" t="s">
        <v>223</v>
      </c>
      <c r="D50" s="71" t="s">
        <v>224</v>
      </c>
      <c r="E50" s="50"/>
      <c r="F50" s="50"/>
      <c r="G50" s="50"/>
      <c r="H50" s="50"/>
      <c r="I50" s="50"/>
      <c r="J50" s="50">
        <f>16*60</f>
        <v>960</v>
      </c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71"/>
      <c r="Z50" s="70"/>
    </row>
    <row r="51" spans="1:26" ht="18" customHeight="1">
      <c r="A51" s="45">
        <v>41</v>
      </c>
      <c r="B51" s="74" t="s">
        <v>473</v>
      </c>
      <c r="C51" s="73" t="s">
        <v>226</v>
      </c>
      <c r="D51" s="71" t="s">
        <v>227</v>
      </c>
      <c r="E51" s="50"/>
      <c r="F51" s="50"/>
      <c r="G51" s="50"/>
      <c r="H51" s="50"/>
      <c r="I51" s="50">
        <f>16*100</f>
        <v>1600</v>
      </c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71"/>
      <c r="Z51" s="70"/>
    </row>
    <row r="52" spans="1:26" ht="20.25" customHeight="1">
      <c r="A52" s="45">
        <v>42</v>
      </c>
      <c r="B52" s="74" t="s">
        <v>473</v>
      </c>
      <c r="C52" s="73" t="s">
        <v>232</v>
      </c>
      <c r="D52" s="71" t="s">
        <v>233</v>
      </c>
      <c r="E52" s="50"/>
      <c r="F52" s="50"/>
      <c r="G52" s="50"/>
      <c r="H52" s="50"/>
      <c r="I52" s="50">
        <f>100*16</f>
        <v>1600</v>
      </c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71"/>
      <c r="Z52" s="70"/>
    </row>
    <row r="53" spans="1:26" ht="17.25" customHeight="1">
      <c r="A53" s="45">
        <v>43</v>
      </c>
      <c r="B53" s="74" t="s">
        <v>473</v>
      </c>
      <c r="C53" s="73" t="s">
        <v>238</v>
      </c>
      <c r="D53" s="71" t="s">
        <v>239</v>
      </c>
      <c r="E53" s="50"/>
      <c r="F53" s="50"/>
      <c r="G53" s="50"/>
      <c r="H53" s="50"/>
      <c r="I53" s="50">
        <f>100*16</f>
        <v>1600</v>
      </c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71"/>
      <c r="Z53" s="70"/>
    </row>
    <row r="54" spans="1:26" ht="19.5" customHeight="1">
      <c r="A54" s="45">
        <v>44</v>
      </c>
      <c r="B54" s="74" t="s">
        <v>473</v>
      </c>
      <c r="C54" s="73" t="s">
        <v>242</v>
      </c>
      <c r="D54" s="71" t="s">
        <v>246</v>
      </c>
      <c r="E54" s="50"/>
      <c r="F54" s="50"/>
      <c r="G54" s="50"/>
      <c r="H54" s="50"/>
      <c r="I54" s="50">
        <f>100*16</f>
        <v>1600</v>
      </c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71"/>
      <c r="Z54" s="70"/>
    </row>
    <row r="55" spans="1:26" ht="21" customHeight="1">
      <c r="A55" s="45">
        <v>45</v>
      </c>
      <c r="B55" s="74" t="s">
        <v>473</v>
      </c>
      <c r="C55" s="73" t="s">
        <v>243</v>
      </c>
      <c r="D55" s="71" t="s">
        <v>246</v>
      </c>
      <c r="E55" s="50"/>
      <c r="F55" s="50"/>
      <c r="G55" s="50"/>
      <c r="H55" s="50"/>
      <c r="I55" s="50">
        <f>100*16</f>
        <v>1600</v>
      </c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71"/>
      <c r="Z55" s="70"/>
    </row>
    <row r="56" spans="1:26" ht="20.25" customHeight="1">
      <c r="A56" s="45">
        <v>46</v>
      </c>
      <c r="B56" s="74" t="s">
        <v>473</v>
      </c>
      <c r="C56" s="73" t="s">
        <v>250</v>
      </c>
      <c r="D56" s="71" t="s">
        <v>251</v>
      </c>
      <c r="E56" s="50"/>
      <c r="F56" s="50"/>
      <c r="G56" s="50"/>
      <c r="H56" s="50"/>
      <c r="I56" s="50">
        <f>100*16</f>
        <v>1600</v>
      </c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71"/>
      <c r="Z56" s="70"/>
    </row>
    <row r="57" spans="1:26" ht="23.25" customHeight="1">
      <c r="A57" s="45">
        <v>47</v>
      </c>
      <c r="B57" s="74" t="s">
        <v>473</v>
      </c>
      <c r="C57" s="73" t="s">
        <v>254</v>
      </c>
      <c r="D57" s="71" t="s">
        <v>255</v>
      </c>
      <c r="E57" s="50"/>
      <c r="F57" s="50"/>
      <c r="G57" s="50"/>
      <c r="H57" s="50"/>
      <c r="I57" s="50">
        <f>16*100</f>
        <v>1600</v>
      </c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71"/>
      <c r="Z57" s="70"/>
    </row>
    <row r="58" spans="1:26" ht="20.25" customHeight="1">
      <c r="A58" s="45">
        <v>48</v>
      </c>
      <c r="B58" s="74" t="s">
        <v>473</v>
      </c>
      <c r="C58" s="73" t="s">
        <v>259</v>
      </c>
      <c r="D58" s="71" t="s">
        <v>260</v>
      </c>
      <c r="E58" s="50"/>
      <c r="F58" s="50"/>
      <c r="G58" s="50"/>
      <c r="H58" s="50"/>
      <c r="I58" s="50">
        <f>16*100</f>
        <v>1600</v>
      </c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71"/>
      <c r="Z58" s="70"/>
    </row>
    <row r="59" spans="1:26" ht="20.25" customHeight="1">
      <c r="A59" s="45">
        <v>49</v>
      </c>
      <c r="B59" s="74" t="s">
        <v>473</v>
      </c>
      <c r="C59" s="73" t="s">
        <v>265</v>
      </c>
      <c r="D59" s="71" t="s">
        <v>266</v>
      </c>
      <c r="E59" s="50"/>
      <c r="F59" s="50"/>
      <c r="G59" s="50"/>
      <c r="H59" s="50"/>
      <c r="I59" s="50">
        <f>16*100</f>
        <v>1600</v>
      </c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71"/>
      <c r="Z59" s="70"/>
    </row>
    <row r="60" spans="1:26" ht="20.25" customHeight="1">
      <c r="A60" s="45">
        <v>50</v>
      </c>
      <c r="B60" s="74" t="s">
        <v>514</v>
      </c>
      <c r="C60" s="73" t="s">
        <v>270</v>
      </c>
      <c r="D60" s="71" t="s">
        <v>271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>
        <f>12*100-9*100</f>
        <v>300</v>
      </c>
      <c r="V60" s="50"/>
      <c r="W60" s="50"/>
      <c r="X60" s="50"/>
      <c r="Y60" s="71"/>
      <c r="Z60" s="70"/>
    </row>
    <row r="61" spans="1:26" ht="20.25" customHeight="1">
      <c r="A61" s="45">
        <v>51</v>
      </c>
      <c r="B61" s="74" t="s">
        <v>514</v>
      </c>
      <c r="C61" s="73" t="s">
        <v>272</v>
      </c>
      <c r="D61" s="71" t="s">
        <v>278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>
        <f>24*100*0.95</f>
        <v>2280</v>
      </c>
      <c r="V61" s="50"/>
      <c r="W61" s="50"/>
      <c r="X61" s="50"/>
      <c r="Y61" s="71"/>
      <c r="Z61" s="70"/>
    </row>
    <row r="62" spans="1:26" ht="20.25" customHeight="1">
      <c r="A62" s="45">
        <v>52</v>
      </c>
      <c r="B62" s="74" t="s">
        <v>473</v>
      </c>
      <c r="C62" s="73" t="s">
        <v>120</v>
      </c>
      <c r="D62" s="45" t="s">
        <v>282</v>
      </c>
      <c r="E62" s="50"/>
      <c r="F62" s="50"/>
      <c r="G62" s="50"/>
      <c r="H62" s="50"/>
      <c r="I62" s="50">
        <f>16*100</f>
        <v>1600</v>
      </c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71"/>
      <c r="Z62" s="70"/>
    </row>
    <row r="63" spans="1:26" ht="20.25" customHeight="1">
      <c r="A63" s="45">
        <v>53</v>
      </c>
      <c r="B63" s="74" t="s">
        <v>473</v>
      </c>
      <c r="C63" s="73" t="s">
        <v>293</v>
      </c>
      <c r="D63" s="71" t="s">
        <v>294</v>
      </c>
      <c r="E63" s="50"/>
      <c r="F63" s="50"/>
      <c r="G63" s="50"/>
      <c r="H63" s="50"/>
      <c r="I63" s="50">
        <f>16*100</f>
        <v>1600</v>
      </c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71"/>
      <c r="Z63" s="70"/>
    </row>
    <row r="64" spans="1:26" ht="20.25" customHeight="1">
      <c r="A64" s="45"/>
      <c r="B64" s="74"/>
      <c r="C64" s="111" t="s">
        <v>558</v>
      </c>
      <c r="D64" s="71"/>
      <c r="E64" s="103">
        <f>SUM(E12:E63)</f>
        <v>8720</v>
      </c>
      <c r="F64" s="103"/>
      <c r="G64" s="103">
        <f>SUM(G12:G63)</f>
        <v>10960</v>
      </c>
      <c r="H64" s="103"/>
      <c r="I64" s="103">
        <f>SUM(I12:I63)</f>
        <v>30400</v>
      </c>
      <c r="J64" s="103">
        <f>SUM(J12:J63)</f>
        <v>10080</v>
      </c>
      <c r="K64" s="103">
        <f>SUM(K12:K63)</f>
        <v>7680</v>
      </c>
      <c r="L64" s="103">
        <f>SUM(L13:L63)</f>
        <v>500</v>
      </c>
      <c r="M64" s="103"/>
      <c r="N64" s="103"/>
      <c r="O64" s="103">
        <f>SUM(O12:O63)</f>
        <v>5280</v>
      </c>
      <c r="P64" s="103">
        <f>SUM(P12:P63)</f>
        <v>6640</v>
      </c>
      <c r="Q64" s="103">
        <f>SUM(Q12:Q63)</f>
        <v>400</v>
      </c>
      <c r="R64" s="103"/>
      <c r="S64" s="103"/>
      <c r="T64" s="103">
        <f>SUM(E64:Q64)</f>
        <v>80660</v>
      </c>
      <c r="U64" s="50"/>
      <c r="V64" s="50"/>
      <c r="W64" s="50"/>
      <c r="X64" s="50"/>
      <c r="Y64" s="71"/>
      <c r="Z64" s="70"/>
    </row>
    <row r="65" spans="1:26" ht="20.25" customHeight="1">
      <c r="A65" s="100"/>
      <c r="B65" s="101"/>
      <c r="C65" s="102"/>
      <c r="D65" s="102"/>
      <c r="E65" s="88"/>
      <c r="F65" s="88"/>
      <c r="G65" s="88"/>
      <c r="H65" s="88"/>
      <c r="I65" s="88"/>
      <c r="J65" s="88"/>
      <c r="K65" s="50"/>
      <c r="L65" s="50"/>
      <c r="M65" s="50"/>
      <c r="N65" s="50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102"/>
      <c r="Z65" s="70"/>
    </row>
    <row r="66" spans="1:26" ht="20.25" customHeight="1">
      <c r="A66" s="45">
        <v>1</v>
      </c>
      <c r="B66" s="74" t="s">
        <v>473</v>
      </c>
      <c r="C66" s="73" t="s">
        <v>324</v>
      </c>
      <c r="D66" s="71" t="s">
        <v>321</v>
      </c>
      <c r="F66" s="50"/>
      <c r="G66" s="50"/>
      <c r="H66" s="50"/>
      <c r="I66" s="50"/>
      <c r="J66" s="50">
        <f>55*16</f>
        <v>880</v>
      </c>
      <c r="K66" s="50"/>
      <c r="L66" s="50"/>
      <c r="M66" s="50"/>
      <c r="N66" s="50"/>
      <c r="O66" s="50"/>
      <c r="P66" s="50">
        <f>55*16</f>
        <v>880</v>
      </c>
      <c r="Q66" s="50">
        <v>50</v>
      </c>
      <c r="R66" s="50"/>
      <c r="S66" s="50"/>
      <c r="T66" s="50"/>
      <c r="U66" s="50"/>
      <c r="V66" s="50"/>
      <c r="W66" s="50"/>
      <c r="X66" s="50"/>
      <c r="Y66" s="71"/>
      <c r="Z66" s="70"/>
    </row>
    <row r="67" spans="1:26" ht="20.25" customHeight="1">
      <c r="A67" s="45">
        <v>2</v>
      </c>
      <c r="B67" s="74" t="s">
        <v>473</v>
      </c>
      <c r="C67" s="73" t="s">
        <v>326</v>
      </c>
      <c r="D67" s="71" t="s">
        <v>327</v>
      </c>
      <c r="E67" s="50"/>
      <c r="F67" s="50"/>
      <c r="G67" s="50"/>
      <c r="H67" s="50"/>
      <c r="I67" s="50"/>
      <c r="J67" s="50">
        <f>55*16</f>
        <v>880</v>
      </c>
      <c r="K67" s="50">
        <f>55*16</f>
        <v>880</v>
      </c>
      <c r="L67" s="50">
        <v>50</v>
      </c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71"/>
      <c r="Z67" s="70"/>
    </row>
    <row r="68" spans="1:26" ht="20.25" customHeight="1">
      <c r="A68" s="45">
        <v>3</v>
      </c>
      <c r="B68" s="74" t="s">
        <v>473</v>
      </c>
      <c r="C68" s="73" t="s">
        <v>328</v>
      </c>
      <c r="D68" s="71" t="s">
        <v>327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>
        <f>60*16</f>
        <v>960</v>
      </c>
      <c r="Q68" s="50">
        <v>50</v>
      </c>
      <c r="R68" s="50"/>
      <c r="S68" s="50"/>
      <c r="T68" s="50"/>
      <c r="U68" s="50"/>
      <c r="V68" s="50"/>
      <c r="W68" s="50"/>
      <c r="X68" s="50"/>
      <c r="Y68" s="71"/>
      <c r="Z68" s="70"/>
    </row>
    <row r="69" spans="1:26" ht="20.25" customHeight="1">
      <c r="A69" s="45">
        <v>4</v>
      </c>
      <c r="B69" s="74" t="s">
        <v>473</v>
      </c>
      <c r="C69" s="73" t="s">
        <v>329</v>
      </c>
      <c r="D69" s="71" t="s">
        <v>330</v>
      </c>
      <c r="E69" s="50"/>
      <c r="F69" s="50"/>
      <c r="G69" s="50"/>
      <c r="H69" s="50"/>
      <c r="I69" s="50">
        <f>16*100</f>
        <v>1600</v>
      </c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71"/>
      <c r="Z69" s="70"/>
    </row>
    <row r="70" spans="1:26" ht="20.25" customHeight="1">
      <c r="A70" s="45">
        <v>5</v>
      </c>
      <c r="B70" s="74" t="s">
        <v>473</v>
      </c>
      <c r="C70" s="73" t="s">
        <v>333</v>
      </c>
      <c r="D70" s="71" t="s">
        <v>330</v>
      </c>
      <c r="E70" s="50"/>
      <c r="F70" s="50"/>
      <c r="G70" s="50">
        <f>16*60</f>
        <v>960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71"/>
      <c r="Z70" s="70"/>
    </row>
    <row r="71" spans="1:26" ht="20.25" customHeight="1">
      <c r="A71" s="45">
        <v>6</v>
      </c>
      <c r="B71" s="74" t="s">
        <v>473</v>
      </c>
      <c r="C71" s="73" t="s">
        <v>331</v>
      </c>
      <c r="D71" s="71" t="s">
        <v>330</v>
      </c>
      <c r="E71" s="50"/>
      <c r="F71" s="50"/>
      <c r="G71" s="50"/>
      <c r="H71" s="50"/>
      <c r="I71" s="50"/>
      <c r="K71" s="50"/>
      <c r="L71" s="50"/>
      <c r="M71" s="50"/>
      <c r="N71" s="50"/>
      <c r="O71" s="50"/>
      <c r="P71" s="50">
        <f>8*60</f>
        <v>480</v>
      </c>
      <c r="Q71" s="50">
        <v>50</v>
      </c>
      <c r="R71" s="50"/>
      <c r="S71" s="50"/>
      <c r="T71" s="50"/>
      <c r="U71" s="50"/>
      <c r="V71" s="50"/>
      <c r="W71" s="50"/>
      <c r="X71" s="50"/>
      <c r="Y71" s="71"/>
      <c r="Z71" s="70"/>
    </row>
    <row r="72" spans="1:26" ht="20.25" customHeight="1">
      <c r="A72" s="45">
        <v>7</v>
      </c>
      <c r="B72" s="74" t="s">
        <v>473</v>
      </c>
      <c r="C72" s="73" t="s">
        <v>334</v>
      </c>
      <c r="D72" s="71" t="s">
        <v>330</v>
      </c>
      <c r="E72" s="50"/>
      <c r="F72" s="50"/>
      <c r="G72" s="50">
        <f>55*16</f>
        <v>880</v>
      </c>
      <c r="H72" s="50"/>
      <c r="I72" s="50"/>
      <c r="J72" s="50"/>
      <c r="K72" s="50"/>
      <c r="L72" s="50"/>
      <c r="M72" s="50"/>
      <c r="N72" s="50"/>
      <c r="O72" s="50"/>
      <c r="P72" s="50">
        <f>55*16</f>
        <v>880</v>
      </c>
      <c r="Q72" s="50">
        <v>50</v>
      </c>
      <c r="R72" s="50"/>
      <c r="S72" s="50"/>
      <c r="T72" s="50"/>
      <c r="U72" s="50"/>
      <c r="V72" s="50"/>
      <c r="W72" s="50"/>
      <c r="X72" s="50"/>
      <c r="Y72" s="71"/>
      <c r="Z72" s="70"/>
    </row>
    <row r="73" spans="1:26" ht="20.25" customHeight="1">
      <c r="A73" s="45">
        <v>8</v>
      </c>
      <c r="B73" s="74" t="s">
        <v>473</v>
      </c>
      <c r="C73" s="73" t="s">
        <v>332</v>
      </c>
      <c r="D73" s="71" t="s">
        <v>330</v>
      </c>
      <c r="E73" s="50"/>
      <c r="F73" s="50"/>
      <c r="G73" s="50"/>
      <c r="H73" s="50"/>
      <c r="I73" s="50"/>
      <c r="J73" s="50"/>
      <c r="K73" s="50">
        <f>60*16</f>
        <v>960</v>
      </c>
      <c r="L73" s="50">
        <v>50</v>
      </c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71"/>
      <c r="Z73" s="70"/>
    </row>
    <row r="74" spans="1:26" ht="20.25" customHeight="1">
      <c r="A74" s="45">
        <v>9</v>
      </c>
      <c r="B74" s="74" t="s">
        <v>473</v>
      </c>
      <c r="C74" s="73" t="s">
        <v>335</v>
      </c>
      <c r="D74" s="71" t="s">
        <v>336</v>
      </c>
      <c r="E74" s="50"/>
      <c r="F74" s="50"/>
      <c r="G74" s="50"/>
      <c r="H74" s="50"/>
      <c r="I74" s="50"/>
      <c r="J74" s="50"/>
      <c r="K74" s="50">
        <f>55*16</f>
        <v>880</v>
      </c>
      <c r="L74" s="50">
        <v>50</v>
      </c>
      <c r="M74" s="50"/>
      <c r="N74" s="50"/>
      <c r="O74" s="50">
        <f>55*16-880</f>
        <v>0</v>
      </c>
      <c r="P74" s="50"/>
      <c r="Q74" s="50"/>
      <c r="R74" s="50"/>
      <c r="S74" s="50"/>
      <c r="T74" s="50">
        <f>16*100</f>
        <v>1600</v>
      </c>
      <c r="U74" s="50"/>
      <c r="V74" s="50"/>
      <c r="W74" s="50"/>
      <c r="X74" s="50"/>
      <c r="Y74" s="71"/>
      <c r="Z74" s="70"/>
    </row>
    <row r="75" spans="1:26" ht="20.25" customHeight="1">
      <c r="A75" s="45">
        <v>10</v>
      </c>
      <c r="B75" s="74" t="s">
        <v>473</v>
      </c>
      <c r="C75" s="73" t="s">
        <v>372</v>
      </c>
      <c r="D75" s="71" t="s">
        <v>371</v>
      </c>
      <c r="E75" s="50"/>
      <c r="F75" s="50"/>
      <c r="G75" s="50">
        <f>60*16</f>
        <v>960</v>
      </c>
      <c r="H75" s="50"/>
      <c r="I75" s="50"/>
      <c r="J75" s="50"/>
      <c r="K75" s="50">
        <f>50*16</f>
        <v>800</v>
      </c>
      <c r="L75" s="50">
        <v>50</v>
      </c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71"/>
      <c r="Z75" s="70"/>
    </row>
    <row r="76" spans="1:26" ht="20.25" customHeight="1">
      <c r="A76" s="45">
        <v>11</v>
      </c>
      <c r="B76" s="74" t="s">
        <v>473</v>
      </c>
      <c r="C76" s="73" t="s">
        <v>340</v>
      </c>
      <c r="D76" s="71" t="s">
        <v>341</v>
      </c>
      <c r="E76" s="50"/>
      <c r="F76" s="50">
        <f>60*16</f>
        <v>960</v>
      </c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71"/>
      <c r="Z76" s="70"/>
    </row>
    <row r="77" spans="1:26" ht="20.25" customHeight="1">
      <c r="A77" s="45">
        <v>12</v>
      </c>
      <c r="B77" s="74" t="s">
        <v>473</v>
      </c>
      <c r="C77" s="73" t="s">
        <v>343</v>
      </c>
      <c r="D77" s="71" t="s">
        <v>249</v>
      </c>
      <c r="E77" s="50"/>
      <c r="F77" s="50"/>
      <c r="G77" s="50">
        <f>60*8</f>
        <v>480</v>
      </c>
      <c r="H77" s="50"/>
      <c r="I77" s="50"/>
      <c r="J77" s="50"/>
      <c r="K77" s="50"/>
      <c r="L77" s="50">
        <v>50</v>
      </c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71"/>
      <c r="Z77" s="70"/>
    </row>
    <row r="78" spans="1:26" ht="20.25" customHeight="1">
      <c r="A78" s="45">
        <v>13</v>
      </c>
      <c r="B78" s="74" t="s">
        <v>473</v>
      </c>
      <c r="C78" s="73" t="s">
        <v>345</v>
      </c>
      <c r="D78" s="71" t="s">
        <v>344</v>
      </c>
      <c r="E78" s="50"/>
      <c r="F78" s="50"/>
      <c r="G78" s="50">
        <f>60*8</f>
        <v>480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71"/>
      <c r="Z78" s="70"/>
    </row>
    <row r="79" spans="1:26" ht="20.25" customHeight="1">
      <c r="A79" s="45">
        <v>14</v>
      </c>
      <c r="B79" s="74" t="s">
        <v>473</v>
      </c>
      <c r="C79" s="73" t="s">
        <v>346</v>
      </c>
      <c r="D79" s="71" t="s">
        <v>344</v>
      </c>
      <c r="E79" s="50"/>
      <c r="F79" s="50"/>
      <c r="G79" s="50">
        <f>16*60</f>
        <v>960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71"/>
      <c r="Z79" s="70"/>
    </row>
    <row r="80" spans="1:26" ht="20.25" customHeight="1">
      <c r="A80" s="45">
        <v>15</v>
      </c>
      <c r="B80" s="74" t="s">
        <v>473</v>
      </c>
      <c r="C80" s="73" t="s">
        <v>347</v>
      </c>
      <c r="D80" s="71" t="s">
        <v>344</v>
      </c>
      <c r="E80" s="50"/>
      <c r="F80" s="50"/>
      <c r="G80" s="50">
        <f>16*60</f>
        <v>960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71"/>
      <c r="Z80" s="70"/>
    </row>
    <row r="81" spans="1:26" ht="20.25" customHeight="1">
      <c r="A81" s="45">
        <v>16</v>
      </c>
      <c r="B81" s="74" t="s">
        <v>473</v>
      </c>
      <c r="C81" s="73" t="s">
        <v>349</v>
      </c>
      <c r="D81" s="149" t="s">
        <v>655</v>
      </c>
      <c r="E81" s="50"/>
      <c r="F81" s="50"/>
      <c r="G81" s="50"/>
      <c r="H81" s="50"/>
      <c r="I81" s="50">
        <f>16*100</f>
        <v>1600</v>
      </c>
      <c r="J81" s="50">
        <f>60*16</f>
        <v>960</v>
      </c>
      <c r="K81" s="50"/>
      <c r="L81" s="50"/>
      <c r="M81" s="50"/>
      <c r="N81" s="50"/>
      <c r="O81" s="50"/>
      <c r="P81" s="50"/>
      <c r="Q81" s="50"/>
      <c r="R81" s="50"/>
      <c r="S81" s="50"/>
      <c r="T81" s="50">
        <f>16*100+100*16</f>
        <v>3200</v>
      </c>
      <c r="U81" s="50"/>
      <c r="V81" s="50"/>
      <c r="W81" s="50"/>
      <c r="X81" s="50"/>
      <c r="Y81" s="71"/>
      <c r="Z81" s="70"/>
    </row>
    <row r="82" spans="1:26" ht="20.25" customHeight="1">
      <c r="A82" s="45">
        <v>17</v>
      </c>
      <c r="B82" s="74" t="s">
        <v>473</v>
      </c>
      <c r="C82" s="73" t="s">
        <v>401</v>
      </c>
      <c r="D82" s="71" t="s">
        <v>344</v>
      </c>
      <c r="E82" s="50"/>
      <c r="F82" s="50"/>
      <c r="G82" s="50"/>
      <c r="H82" s="50"/>
      <c r="I82" s="50"/>
      <c r="J82" s="50"/>
      <c r="K82" s="50">
        <f>55*16</f>
        <v>880</v>
      </c>
      <c r="L82" s="50">
        <v>50</v>
      </c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71"/>
      <c r="Z82" s="70"/>
    </row>
    <row r="83" spans="1:26" ht="20.25" customHeight="1">
      <c r="A83" s="45">
        <v>18</v>
      </c>
      <c r="B83" s="74" t="s">
        <v>473</v>
      </c>
      <c r="C83" s="73" t="s">
        <v>350</v>
      </c>
      <c r="D83" s="71" t="s">
        <v>359</v>
      </c>
      <c r="E83" s="50"/>
      <c r="F83" s="50">
        <f>12*55+4*55</f>
        <v>880</v>
      </c>
      <c r="G83" s="50"/>
      <c r="H83" s="50"/>
      <c r="I83" s="50"/>
      <c r="J83" s="50"/>
      <c r="K83" s="50"/>
      <c r="L83" s="50"/>
      <c r="M83" s="50"/>
      <c r="N83" s="50"/>
      <c r="O83" s="50"/>
      <c r="P83" s="50">
        <f>55*16</f>
        <v>880</v>
      </c>
      <c r="Q83" s="50">
        <v>50</v>
      </c>
      <c r="R83" s="50"/>
      <c r="S83" s="50"/>
      <c r="T83" s="50"/>
      <c r="U83" s="50"/>
      <c r="V83" s="50"/>
      <c r="W83" s="50"/>
      <c r="X83" s="50"/>
      <c r="Y83" s="71"/>
      <c r="Z83" s="70"/>
    </row>
    <row r="84" spans="1:26" ht="20.25" customHeight="1">
      <c r="A84" s="45">
        <v>19</v>
      </c>
      <c r="B84" s="74" t="s">
        <v>473</v>
      </c>
      <c r="C84" s="73" t="s">
        <v>354</v>
      </c>
      <c r="D84" s="71" t="s">
        <v>359</v>
      </c>
      <c r="E84" s="50"/>
      <c r="F84" s="50"/>
      <c r="G84" s="50">
        <f>10*50+6*50</f>
        <v>800</v>
      </c>
      <c r="H84" s="50"/>
      <c r="I84" s="50"/>
      <c r="J84" s="50"/>
      <c r="K84" s="50">
        <f>50*16</f>
        <v>800</v>
      </c>
      <c r="L84" s="50">
        <v>50</v>
      </c>
      <c r="M84" s="50"/>
      <c r="N84" s="50"/>
      <c r="O84" s="50"/>
      <c r="P84" s="50">
        <f>50*16</f>
        <v>800</v>
      </c>
      <c r="Q84" s="50">
        <v>50</v>
      </c>
      <c r="R84" s="113"/>
      <c r="S84" s="113"/>
      <c r="U84" s="50"/>
      <c r="V84" s="50"/>
      <c r="W84" s="50"/>
      <c r="X84" s="50"/>
      <c r="Y84" s="71"/>
      <c r="Z84" s="70"/>
    </row>
    <row r="85" spans="1:26" ht="20.25" customHeight="1">
      <c r="A85" s="45">
        <v>20</v>
      </c>
      <c r="B85" s="74" t="s">
        <v>473</v>
      </c>
      <c r="C85" s="73" t="s">
        <v>355</v>
      </c>
      <c r="D85" s="71" t="s">
        <v>359</v>
      </c>
      <c r="E85" s="50"/>
      <c r="F85" s="50">
        <f>50*16</f>
        <v>800</v>
      </c>
      <c r="G85" s="50"/>
      <c r="H85" s="50"/>
      <c r="I85" s="50"/>
      <c r="J85" s="50">
        <f>50*12+50*4</f>
        <v>800</v>
      </c>
      <c r="K85" s="50">
        <f>50*16</f>
        <v>800</v>
      </c>
      <c r="L85" s="50">
        <v>50</v>
      </c>
      <c r="M85" s="50"/>
      <c r="N85" s="50"/>
      <c r="O85" s="50"/>
      <c r="P85" s="50">
        <f>50*16</f>
        <v>800</v>
      </c>
      <c r="Q85" s="50">
        <v>50</v>
      </c>
      <c r="R85" s="50"/>
      <c r="S85" s="50"/>
      <c r="T85" s="50"/>
      <c r="U85" s="50"/>
      <c r="V85" s="50"/>
      <c r="W85" s="50"/>
      <c r="X85" s="50"/>
      <c r="Y85" s="71"/>
      <c r="Z85" s="70"/>
    </row>
    <row r="86" spans="1:26" ht="20.25" customHeight="1">
      <c r="A86" s="45">
        <v>21</v>
      </c>
      <c r="B86" s="74" t="s">
        <v>473</v>
      </c>
      <c r="C86" s="73" t="s">
        <v>356</v>
      </c>
      <c r="D86" s="71" t="s">
        <v>357</v>
      </c>
      <c r="E86" s="50">
        <f>60*16</f>
        <v>960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71"/>
      <c r="Z86" s="70"/>
    </row>
    <row r="87" spans="1:26" ht="20.25" customHeight="1">
      <c r="A87" s="45">
        <v>22</v>
      </c>
      <c r="B87" s="74" t="s">
        <v>473</v>
      </c>
      <c r="C87" s="73" t="s">
        <v>358</v>
      </c>
      <c r="D87" s="71" t="s">
        <v>357</v>
      </c>
      <c r="E87" s="50">
        <f>55*16-880</f>
        <v>0</v>
      </c>
      <c r="F87" s="50"/>
      <c r="G87" s="50"/>
      <c r="H87" s="50"/>
      <c r="I87" s="50"/>
      <c r="J87" s="50">
        <f>55*14+55*2</f>
        <v>880</v>
      </c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71"/>
      <c r="Z87" s="70"/>
    </row>
    <row r="88" spans="1:26" ht="20.25" customHeight="1">
      <c r="A88" s="45">
        <v>23</v>
      </c>
      <c r="B88" s="74" t="s">
        <v>473</v>
      </c>
      <c r="C88" s="73" t="s">
        <v>601</v>
      </c>
      <c r="D88" s="71" t="s">
        <v>357</v>
      </c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>
        <f>60*16</f>
        <v>960</v>
      </c>
      <c r="Q88" s="50">
        <v>50</v>
      </c>
      <c r="R88" s="50"/>
      <c r="S88" s="50"/>
      <c r="T88" s="50">
        <f>16*100</f>
        <v>1600</v>
      </c>
      <c r="U88" s="50"/>
      <c r="V88" s="50"/>
      <c r="W88" s="50"/>
      <c r="X88" s="50"/>
      <c r="Y88" s="71"/>
      <c r="Z88" s="70"/>
    </row>
    <row r="89" spans="1:26" ht="20.25" customHeight="1">
      <c r="A89" s="45">
        <v>24</v>
      </c>
      <c r="B89" s="74" t="s">
        <v>473</v>
      </c>
      <c r="C89" s="73" t="s">
        <v>361</v>
      </c>
      <c r="D89" s="71" t="s">
        <v>362</v>
      </c>
      <c r="E89" s="50"/>
      <c r="F89" s="50">
        <f>55*16</f>
        <v>880</v>
      </c>
      <c r="G89" s="50"/>
      <c r="H89" s="50"/>
      <c r="I89" s="50"/>
      <c r="J89" s="50"/>
      <c r="K89" s="50"/>
      <c r="L89" s="50"/>
      <c r="M89" s="50"/>
      <c r="N89" s="50"/>
      <c r="O89" s="50"/>
      <c r="P89" s="50">
        <f>55*16</f>
        <v>880</v>
      </c>
      <c r="Q89" s="50">
        <v>50</v>
      </c>
      <c r="R89" s="50"/>
      <c r="S89" s="50"/>
      <c r="T89" s="50"/>
      <c r="U89" s="50"/>
      <c r="V89" s="50"/>
      <c r="W89" s="50"/>
      <c r="X89" s="50"/>
      <c r="Y89" s="71"/>
      <c r="Z89" s="70"/>
    </row>
    <row r="90" spans="1:26" ht="20.25" customHeight="1">
      <c r="A90" s="45">
        <v>25</v>
      </c>
      <c r="B90" s="74" t="s">
        <v>473</v>
      </c>
      <c r="C90" s="51" t="s">
        <v>154</v>
      </c>
      <c r="D90" s="71" t="s">
        <v>362</v>
      </c>
      <c r="E90" s="50">
        <f>55*16-55*16</f>
        <v>0</v>
      </c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>
        <f>55*16</f>
        <v>880</v>
      </c>
      <c r="Q90" s="50">
        <v>50</v>
      </c>
      <c r="R90" s="50"/>
      <c r="S90" s="50"/>
      <c r="T90" s="50"/>
      <c r="U90" s="50"/>
      <c r="V90" s="50"/>
      <c r="W90" s="50"/>
      <c r="X90" s="50"/>
      <c r="Y90" s="71"/>
      <c r="Z90" s="70"/>
    </row>
    <row r="91" spans="1:26" ht="20.25" customHeight="1">
      <c r="A91" s="45">
        <v>26</v>
      </c>
      <c r="B91" s="74" t="s">
        <v>473</v>
      </c>
      <c r="C91" s="73" t="s">
        <v>364</v>
      </c>
      <c r="D91" s="71" t="s">
        <v>365</v>
      </c>
      <c r="E91" s="50"/>
      <c r="F91" s="50"/>
      <c r="G91" s="50">
        <f>16*60</f>
        <v>960</v>
      </c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71"/>
      <c r="Z91" s="70"/>
    </row>
    <row r="92" spans="1:26" ht="20.25" customHeight="1">
      <c r="A92" s="45">
        <v>27</v>
      </c>
      <c r="B92" s="74" t="s">
        <v>473</v>
      </c>
      <c r="C92" s="73" t="s">
        <v>366</v>
      </c>
      <c r="D92" s="71" t="s">
        <v>365</v>
      </c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>
        <f>16*60</f>
        <v>960</v>
      </c>
      <c r="Q92" s="50">
        <v>50</v>
      </c>
      <c r="R92" s="50"/>
      <c r="S92" s="50"/>
      <c r="T92" s="50"/>
      <c r="U92" s="50"/>
      <c r="V92" s="50"/>
      <c r="W92" s="50"/>
      <c r="X92" s="50"/>
      <c r="Y92" s="71"/>
      <c r="Z92" s="70"/>
    </row>
    <row r="93" spans="1:26" ht="20.25" customHeight="1">
      <c r="A93" s="45">
        <v>28</v>
      </c>
      <c r="B93" s="74" t="s">
        <v>473</v>
      </c>
      <c r="C93" s="73" t="s">
        <v>370</v>
      </c>
      <c r="D93" s="71" t="s">
        <v>416</v>
      </c>
      <c r="E93" s="50"/>
      <c r="F93" s="50"/>
      <c r="G93" s="50">
        <f>50*16</f>
        <v>800</v>
      </c>
      <c r="H93" s="50"/>
      <c r="I93" s="50"/>
      <c r="J93" s="50"/>
      <c r="K93" s="50">
        <f>50*16</f>
        <v>800</v>
      </c>
      <c r="L93" s="50">
        <v>50</v>
      </c>
      <c r="M93" s="50"/>
      <c r="N93" s="50"/>
      <c r="O93" s="50"/>
      <c r="P93" s="50">
        <f>50*16</f>
        <v>800</v>
      </c>
      <c r="Q93" s="50">
        <v>50</v>
      </c>
      <c r="R93" s="50"/>
      <c r="S93" s="50"/>
      <c r="T93" s="50"/>
      <c r="U93" s="50"/>
      <c r="V93" s="50"/>
      <c r="W93" s="50"/>
      <c r="X93" s="50"/>
      <c r="Y93" s="71"/>
      <c r="Z93" s="70"/>
    </row>
    <row r="94" spans="1:26" ht="20.25" customHeight="1">
      <c r="A94" s="45">
        <v>29</v>
      </c>
      <c r="B94" s="74" t="s">
        <v>473</v>
      </c>
      <c r="C94" s="73" t="s">
        <v>379</v>
      </c>
      <c r="D94" s="71" t="s">
        <v>383</v>
      </c>
      <c r="E94" s="50"/>
      <c r="F94" s="50"/>
      <c r="G94" s="50">
        <f>60*16</f>
        <v>960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71"/>
      <c r="Z94" s="70"/>
    </row>
    <row r="95" spans="1:26" ht="20.25" customHeight="1">
      <c r="A95" s="45">
        <v>30</v>
      </c>
      <c r="B95" s="74" t="s">
        <v>473</v>
      </c>
      <c r="C95" s="73" t="s">
        <v>384</v>
      </c>
      <c r="D95" s="71" t="s">
        <v>383</v>
      </c>
      <c r="E95" s="50"/>
      <c r="F95" s="50"/>
      <c r="G95" s="50">
        <f>50*16</f>
        <v>800</v>
      </c>
      <c r="H95" s="50"/>
      <c r="I95" s="50"/>
      <c r="J95" s="50"/>
      <c r="K95" s="49">
        <f>50*16-800</f>
        <v>0</v>
      </c>
      <c r="L95" s="50">
        <f>50-50</f>
        <v>0</v>
      </c>
      <c r="M95" s="50"/>
      <c r="N95" s="50"/>
      <c r="O95" s="50"/>
      <c r="P95" s="50">
        <f>50*16</f>
        <v>800</v>
      </c>
      <c r="Q95" s="50">
        <v>50</v>
      </c>
      <c r="R95" s="50"/>
      <c r="S95" s="50"/>
      <c r="T95" s="50"/>
      <c r="U95" s="50"/>
      <c r="V95" s="50"/>
      <c r="W95" s="50"/>
      <c r="X95" s="50"/>
      <c r="Y95" s="71"/>
      <c r="Z95" s="70"/>
    </row>
    <row r="96" spans="1:26" ht="20.25" customHeight="1">
      <c r="A96" s="45">
        <v>31</v>
      </c>
      <c r="B96" s="74" t="s">
        <v>473</v>
      </c>
      <c r="C96" s="73" t="s">
        <v>385</v>
      </c>
      <c r="D96" s="71" t="s">
        <v>387</v>
      </c>
      <c r="E96" s="50"/>
      <c r="F96" s="50"/>
      <c r="G96" s="50"/>
      <c r="H96" s="50"/>
      <c r="I96" s="50">
        <f>16*100</f>
        <v>1600</v>
      </c>
      <c r="J96" s="50"/>
      <c r="K96" s="50">
        <f>60*16</f>
        <v>960</v>
      </c>
      <c r="L96" s="50">
        <v>50</v>
      </c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71"/>
      <c r="Z96" s="70"/>
    </row>
    <row r="97" spans="1:26" ht="20.25" customHeight="1">
      <c r="A97" s="45">
        <v>32</v>
      </c>
      <c r="B97" s="74" t="s">
        <v>473</v>
      </c>
      <c r="C97" s="73" t="s">
        <v>386</v>
      </c>
      <c r="D97" s="71" t="s">
        <v>387</v>
      </c>
      <c r="E97" s="50"/>
      <c r="F97" s="50"/>
      <c r="G97" s="50"/>
      <c r="H97" s="50"/>
      <c r="I97" s="50">
        <f>16*100</f>
        <v>1600</v>
      </c>
      <c r="J97" s="50"/>
      <c r="K97" s="50">
        <f>60*16</f>
        <v>960</v>
      </c>
      <c r="L97" s="50">
        <v>50</v>
      </c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71"/>
      <c r="Z97" s="70"/>
    </row>
    <row r="98" spans="1:26" ht="20.25" customHeight="1">
      <c r="A98" s="45">
        <v>33</v>
      </c>
      <c r="B98" s="74" t="s">
        <v>473</v>
      </c>
      <c r="C98" s="73" t="s">
        <v>399</v>
      </c>
      <c r="D98" s="71" t="s">
        <v>387</v>
      </c>
      <c r="E98" s="50">
        <f>60*16</f>
        <v>960</v>
      </c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71"/>
      <c r="Z98" s="70"/>
    </row>
    <row r="99" spans="1:26" ht="20.25" customHeight="1">
      <c r="A99" s="45">
        <v>34</v>
      </c>
      <c r="B99" s="74" t="s">
        <v>473</v>
      </c>
      <c r="C99" s="73" t="s">
        <v>400</v>
      </c>
      <c r="D99" s="71" t="s">
        <v>387</v>
      </c>
      <c r="E99" s="50"/>
      <c r="F99" s="50"/>
      <c r="G99" s="50"/>
      <c r="H99" s="50"/>
      <c r="I99" s="50"/>
      <c r="J99" s="50"/>
      <c r="K99" s="50"/>
      <c r="L99" s="50">
        <v>50</v>
      </c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71"/>
      <c r="Z99" s="70"/>
    </row>
    <row r="100" spans="1:26" ht="20.25" customHeight="1">
      <c r="A100" s="45">
        <v>35</v>
      </c>
      <c r="B100" s="74" t="s">
        <v>473</v>
      </c>
      <c r="C100" s="73" t="s">
        <v>402</v>
      </c>
      <c r="D100" s="71" t="s">
        <v>403</v>
      </c>
      <c r="E100" s="50"/>
      <c r="F100" s="50"/>
      <c r="G100" s="50"/>
      <c r="H100" s="50"/>
      <c r="I100" s="50">
        <f>16*100</f>
        <v>1600</v>
      </c>
      <c r="J100" s="50">
        <f>60*16</f>
        <v>960</v>
      </c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71"/>
      <c r="Z100" s="70"/>
    </row>
    <row r="101" spans="1:26" ht="20.25" customHeight="1">
      <c r="A101" s="45">
        <v>36</v>
      </c>
      <c r="B101" s="74" t="s">
        <v>473</v>
      </c>
      <c r="C101" s="73" t="s">
        <v>418</v>
      </c>
      <c r="D101" s="71" t="s">
        <v>419</v>
      </c>
      <c r="E101" s="50"/>
      <c r="F101" s="50"/>
      <c r="G101" s="50"/>
      <c r="H101" s="50"/>
      <c r="I101" s="50"/>
      <c r="J101" s="50"/>
      <c r="K101" s="50">
        <f>16*60</f>
        <v>960</v>
      </c>
      <c r="L101" s="50">
        <v>50</v>
      </c>
      <c r="M101" s="50"/>
      <c r="N101" s="50"/>
      <c r="O101" s="50"/>
      <c r="P101" s="50"/>
      <c r="Q101" s="103"/>
      <c r="R101" s="103"/>
      <c r="S101" s="103"/>
      <c r="T101" s="50"/>
      <c r="U101" s="50"/>
      <c r="V101" s="50"/>
      <c r="W101" s="50"/>
      <c r="X101" s="50"/>
      <c r="Y101" s="71"/>
      <c r="Z101" s="70"/>
    </row>
    <row r="102" spans="1:26" ht="20.25" customHeight="1">
      <c r="A102" s="45">
        <v>37</v>
      </c>
      <c r="B102" s="74" t="s">
        <v>473</v>
      </c>
      <c r="C102" s="73" t="s">
        <v>424</v>
      </c>
      <c r="D102" s="71" t="s">
        <v>425</v>
      </c>
      <c r="E102" s="50"/>
      <c r="F102" s="50"/>
      <c r="G102" s="50">
        <f>16*60</f>
        <v>960</v>
      </c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71"/>
      <c r="Z102" s="70"/>
    </row>
    <row r="103" spans="1:26" ht="20.25" customHeight="1">
      <c r="A103" s="45">
        <v>38</v>
      </c>
      <c r="B103" s="74" t="s">
        <v>473</v>
      </c>
      <c r="C103" s="73" t="s">
        <v>435</v>
      </c>
      <c r="D103" s="71" t="s">
        <v>436</v>
      </c>
      <c r="E103" s="50"/>
      <c r="F103" s="50"/>
      <c r="G103" s="50"/>
      <c r="H103" s="50"/>
      <c r="I103" s="50">
        <f>16*100</f>
        <v>1600</v>
      </c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71"/>
      <c r="Z103" s="70"/>
    </row>
    <row r="104" spans="1:26" ht="20.25" customHeight="1">
      <c r="A104" s="45">
        <v>39</v>
      </c>
      <c r="B104" s="74" t="s">
        <v>473</v>
      </c>
      <c r="C104" s="73" t="s">
        <v>447</v>
      </c>
      <c r="D104" s="71" t="s">
        <v>448</v>
      </c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>
        <f>16*100</f>
        <v>1600</v>
      </c>
      <c r="U104" s="50"/>
      <c r="V104" s="50"/>
      <c r="W104" s="50"/>
      <c r="X104" s="50"/>
      <c r="Y104" s="71"/>
      <c r="Z104" s="70"/>
    </row>
    <row r="105" spans="1:26" ht="20.25" customHeight="1">
      <c r="A105" s="45">
        <v>40</v>
      </c>
      <c r="B105" s="74" t="s">
        <v>473</v>
      </c>
      <c r="C105" s="73" t="s">
        <v>438</v>
      </c>
      <c r="D105" s="71" t="s">
        <v>439</v>
      </c>
      <c r="E105" s="50"/>
      <c r="F105" s="50"/>
      <c r="G105" s="50"/>
      <c r="H105" s="50"/>
      <c r="I105" s="50"/>
      <c r="J105" s="50"/>
      <c r="K105" s="50">
        <f>55*16</f>
        <v>880</v>
      </c>
      <c r="L105" s="50">
        <v>50</v>
      </c>
      <c r="M105" s="50"/>
      <c r="N105" s="50"/>
      <c r="O105" s="50"/>
      <c r="P105" s="50">
        <f>55*16</f>
        <v>880</v>
      </c>
      <c r="Q105" s="50">
        <v>50</v>
      </c>
      <c r="R105" s="50"/>
      <c r="S105" s="50"/>
      <c r="T105" s="50"/>
      <c r="U105" s="50"/>
      <c r="V105" s="50"/>
      <c r="W105" s="50"/>
      <c r="X105" s="50"/>
      <c r="Y105" s="71"/>
      <c r="Z105" s="70"/>
    </row>
    <row r="106" spans="1:26" ht="20.25" customHeight="1">
      <c r="A106" s="45">
        <v>41</v>
      </c>
      <c r="B106" s="74" t="s">
        <v>473</v>
      </c>
      <c r="C106" s="73" t="s">
        <v>99</v>
      </c>
      <c r="D106" s="71" t="s">
        <v>100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>
        <f>16*100</f>
        <v>1600</v>
      </c>
      <c r="U106" s="50"/>
      <c r="V106" s="50"/>
      <c r="W106" s="50"/>
      <c r="X106" s="50"/>
      <c r="Y106" s="71"/>
      <c r="Z106" s="70"/>
    </row>
    <row r="107" spans="1:26" ht="20.25" customHeight="1">
      <c r="A107" s="45">
        <v>42</v>
      </c>
      <c r="B107" s="74"/>
      <c r="C107" s="73" t="s">
        <v>559</v>
      </c>
      <c r="D107" s="71" t="s">
        <v>560</v>
      </c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113"/>
      <c r="S107" s="113"/>
      <c r="U107" s="50">
        <f>12*100</f>
        <v>1200</v>
      </c>
      <c r="V107" s="50"/>
      <c r="W107" s="50"/>
      <c r="X107" s="50"/>
      <c r="Y107" s="71"/>
      <c r="Z107" s="70"/>
    </row>
    <row r="108" spans="1:26" ht="20.25" customHeight="1">
      <c r="A108" s="45">
        <v>42</v>
      </c>
      <c r="B108" s="74" t="s">
        <v>473</v>
      </c>
      <c r="C108" s="73" t="s">
        <v>35</v>
      </c>
      <c r="D108" s="71" t="s">
        <v>36</v>
      </c>
      <c r="E108" s="50"/>
      <c r="F108" s="50"/>
      <c r="G108" s="50"/>
      <c r="H108" s="50"/>
      <c r="I108" s="50">
        <f>16*100</f>
        <v>1600</v>
      </c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71"/>
      <c r="Z108" s="70"/>
    </row>
    <row r="109" spans="1:26" ht="20.25" customHeight="1">
      <c r="A109" s="45">
        <v>43</v>
      </c>
      <c r="B109" s="74" t="s">
        <v>581</v>
      </c>
      <c r="C109" s="73" t="s">
        <v>576</v>
      </c>
      <c r="D109" s="71" t="s">
        <v>577</v>
      </c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>
        <f>16*100</f>
        <v>1600</v>
      </c>
      <c r="U109" s="50"/>
      <c r="V109" s="50"/>
      <c r="W109" s="50"/>
      <c r="X109" s="50"/>
      <c r="Y109" s="71"/>
      <c r="Z109" s="70"/>
    </row>
    <row r="110" spans="1:26" ht="20.25" customHeight="1">
      <c r="A110" s="45">
        <v>44</v>
      </c>
      <c r="B110" s="74" t="s">
        <v>473</v>
      </c>
      <c r="C110" s="51" t="s">
        <v>479</v>
      </c>
      <c r="D110" s="71" t="s">
        <v>48</v>
      </c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>
        <f>100*16</f>
        <v>1600</v>
      </c>
      <c r="U110" s="50"/>
      <c r="V110" s="50"/>
      <c r="W110" s="50"/>
      <c r="X110" s="50"/>
      <c r="Y110" s="71"/>
      <c r="Z110" s="70"/>
    </row>
    <row r="111" spans="1:26" ht="20.25" customHeight="1">
      <c r="A111" s="45">
        <v>45</v>
      </c>
      <c r="B111" s="74" t="s">
        <v>473</v>
      </c>
      <c r="C111" s="73" t="s">
        <v>440</v>
      </c>
      <c r="D111" s="71" t="s">
        <v>441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>
        <f>16*100</f>
        <v>1600</v>
      </c>
      <c r="U111" s="50"/>
      <c r="V111" s="50"/>
      <c r="W111" s="50"/>
      <c r="X111" s="50"/>
      <c r="Y111" s="71"/>
      <c r="Z111" s="70"/>
    </row>
    <row r="112" spans="1:26" ht="20.25" customHeight="1">
      <c r="A112" s="45">
        <v>46</v>
      </c>
      <c r="B112" s="74" t="s">
        <v>473</v>
      </c>
      <c r="C112" s="51" t="s">
        <v>182</v>
      </c>
      <c r="D112" s="71" t="s">
        <v>429</v>
      </c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>
        <f>16*100</f>
        <v>1600</v>
      </c>
      <c r="U112" s="50"/>
      <c r="V112" s="50"/>
      <c r="W112" s="50"/>
      <c r="X112" s="50"/>
      <c r="Y112" s="71"/>
      <c r="Z112" s="70"/>
    </row>
    <row r="113" spans="1:26" ht="20.25" customHeight="1">
      <c r="A113" s="45">
        <v>47</v>
      </c>
      <c r="B113" s="74" t="s">
        <v>473</v>
      </c>
      <c r="C113" s="73" t="s">
        <v>59</v>
      </c>
      <c r="D113" s="71" t="s">
        <v>60</v>
      </c>
      <c r="E113" s="50"/>
      <c r="F113" s="50"/>
      <c r="G113" s="50"/>
      <c r="H113" s="50"/>
      <c r="I113" s="50">
        <f>16*100</f>
        <v>1600</v>
      </c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71"/>
      <c r="Z113" s="70"/>
    </row>
    <row r="114" spans="1:26" ht="20.25" customHeight="1">
      <c r="A114" s="45">
        <v>48</v>
      </c>
      <c r="B114" s="74" t="s">
        <v>473</v>
      </c>
      <c r="C114" s="73" t="s">
        <v>192</v>
      </c>
      <c r="D114" s="71" t="s">
        <v>194</v>
      </c>
      <c r="E114" s="50"/>
      <c r="F114" s="50"/>
      <c r="G114" s="50"/>
      <c r="H114" s="50"/>
      <c r="I114" s="50"/>
      <c r="J114" s="50">
        <f>60*16</f>
        <v>960</v>
      </c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71"/>
      <c r="Z114" s="70"/>
    </row>
    <row r="115" spans="1:26" ht="20.25" customHeight="1">
      <c r="A115" s="45">
        <v>49</v>
      </c>
      <c r="B115" s="74" t="s">
        <v>473</v>
      </c>
      <c r="C115" s="73" t="s">
        <v>193</v>
      </c>
      <c r="D115" s="71" t="s">
        <v>194</v>
      </c>
      <c r="E115" s="50"/>
      <c r="F115" s="50"/>
      <c r="G115" s="50"/>
      <c r="H115" s="50"/>
      <c r="I115" s="50"/>
      <c r="J115" s="50"/>
      <c r="K115" s="50"/>
      <c r="L115" s="50">
        <v>50</v>
      </c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71"/>
      <c r="Z115" s="70"/>
    </row>
    <row r="116" spans="1:26" s="120" customFormat="1" ht="20.25" customHeight="1">
      <c r="A116" s="116"/>
      <c r="B116" s="76"/>
      <c r="C116" s="117" t="s">
        <v>413</v>
      </c>
      <c r="D116" s="118"/>
      <c r="E116" s="103">
        <f t="shared" ref="E116:Q116" si="0">SUM(E66:E115)</f>
        <v>1920</v>
      </c>
      <c r="F116" s="103">
        <f t="shared" si="0"/>
        <v>3520</v>
      </c>
      <c r="G116" s="103">
        <f t="shared" si="0"/>
        <v>10960</v>
      </c>
      <c r="H116" s="103">
        <f t="shared" si="0"/>
        <v>0</v>
      </c>
      <c r="I116" s="103">
        <f t="shared" si="0"/>
        <v>12800</v>
      </c>
      <c r="J116" s="103">
        <f t="shared" si="0"/>
        <v>6320</v>
      </c>
      <c r="K116" s="103">
        <f t="shared" si="0"/>
        <v>10560</v>
      </c>
      <c r="L116" s="103">
        <f t="shared" si="0"/>
        <v>750</v>
      </c>
      <c r="M116" s="103">
        <f t="shared" si="0"/>
        <v>0</v>
      </c>
      <c r="N116" s="103">
        <f t="shared" si="0"/>
        <v>0</v>
      </c>
      <c r="O116" s="103">
        <f t="shared" si="0"/>
        <v>0</v>
      </c>
      <c r="P116" s="103">
        <f t="shared" si="0"/>
        <v>11840</v>
      </c>
      <c r="Q116" s="103">
        <f t="shared" si="0"/>
        <v>700</v>
      </c>
      <c r="R116" s="103"/>
      <c r="S116" s="103"/>
      <c r="T116" s="103">
        <f>SUM(T66:T115)</f>
        <v>16000</v>
      </c>
      <c r="U116" s="103">
        <f>SUM(U107:U115)</f>
        <v>1200</v>
      </c>
      <c r="V116" s="103"/>
      <c r="W116" s="103"/>
      <c r="X116" s="103"/>
      <c r="Y116" s="119"/>
      <c r="Z116" s="116"/>
    </row>
    <row r="117" spans="1:26" ht="20.25" customHeight="1">
      <c r="A117" s="100"/>
      <c r="B117" s="101"/>
      <c r="C117" s="102"/>
      <c r="D117" s="102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71"/>
      <c r="Z117" s="70"/>
    </row>
    <row r="118" spans="1:26" ht="20.25" customHeight="1">
      <c r="A118" s="45">
        <v>1</v>
      </c>
      <c r="B118" s="74" t="s">
        <v>473</v>
      </c>
      <c r="C118" s="129" t="s">
        <v>183</v>
      </c>
      <c r="D118" s="71" t="s">
        <v>433</v>
      </c>
      <c r="E118" s="50"/>
      <c r="F118" s="50"/>
      <c r="G118" s="50"/>
      <c r="H118" s="50"/>
      <c r="I118" s="50"/>
      <c r="J118" s="50"/>
      <c r="K118" s="50"/>
      <c r="L118" s="50"/>
      <c r="M118" s="50">
        <f>60*16</f>
        <v>960</v>
      </c>
      <c r="N118" s="50">
        <v>50</v>
      </c>
      <c r="O118" s="50"/>
      <c r="P118" s="50"/>
      <c r="Q118" s="50"/>
      <c r="R118" s="50"/>
      <c r="S118" s="50"/>
      <c r="T118" s="50">
        <f>16*100</f>
        <v>1600</v>
      </c>
      <c r="U118" s="50"/>
      <c r="V118" s="50"/>
      <c r="W118" s="50"/>
      <c r="X118" s="50"/>
      <c r="Y118" s="71"/>
      <c r="Z118" s="70"/>
    </row>
    <row r="119" spans="1:26" ht="20.25" customHeight="1">
      <c r="A119" s="45">
        <v>2</v>
      </c>
      <c r="B119" s="74" t="s">
        <v>473</v>
      </c>
      <c r="C119" s="73" t="s">
        <v>407</v>
      </c>
      <c r="D119" s="71" t="s">
        <v>409</v>
      </c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>
        <f>16*100</f>
        <v>1600</v>
      </c>
      <c r="U119" s="50"/>
      <c r="V119" s="50"/>
      <c r="W119" s="50"/>
      <c r="X119" s="50"/>
      <c r="Y119" s="71"/>
      <c r="Z119" s="70"/>
    </row>
    <row r="120" spans="1:26" ht="20.25" customHeight="1">
      <c r="A120" s="45">
        <v>3</v>
      </c>
      <c r="B120" s="74" t="s">
        <v>473</v>
      </c>
      <c r="C120" s="73" t="s">
        <v>408</v>
      </c>
      <c r="D120" s="149" t="s">
        <v>675</v>
      </c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>
        <f>16*100+100*16+100*16*2</f>
        <v>6400</v>
      </c>
      <c r="U120" s="50"/>
      <c r="V120" s="50"/>
      <c r="W120" s="50"/>
      <c r="X120" s="50"/>
      <c r="Y120" s="71"/>
      <c r="Z120" s="70"/>
    </row>
    <row r="121" spans="1:26" ht="20.25" customHeight="1">
      <c r="A121" s="45">
        <v>4</v>
      </c>
      <c r="B121" s="74" t="s">
        <v>473</v>
      </c>
      <c r="C121" s="73" t="s">
        <v>289</v>
      </c>
      <c r="D121" s="71" t="s">
        <v>290</v>
      </c>
      <c r="E121" s="50"/>
      <c r="F121" s="50"/>
      <c r="G121" s="50"/>
      <c r="H121" s="50"/>
      <c r="I121" s="50"/>
      <c r="J121" s="50"/>
      <c r="K121" s="50"/>
      <c r="L121" s="50"/>
      <c r="M121" s="50">
        <f>60*16-960</f>
        <v>0</v>
      </c>
      <c r="N121" s="50">
        <f>50-50</f>
        <v>0</v>
      </c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71"/>
      <c r="Z121" s="70"/>
    </row>
    <row r="122" spans="1:26" ht="20.25" customHeight="1">
      <c r="A122" s="45">
        <v>5</v>
      </c>
      <c r="B122" s="74" t="s">
        <v>473</v>
      </c>
      <c r="C122" s="73" t="s">
        <v>450</v>
      </c>
      <c r="D122" s="71" t="s">
        <v>237</v>
      </c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>
        <f>16*60</f>
        <v>960</v>
      </c>
      <c r="Q122" s="50">
        <v>50</v>
      </c>
      <c r="R122" s="50"/>
      <c r="S122" s="50"/>
      <c r="T122" s="50"/>
      <c r="U122" s="50"/>
      <c r="V122" s="50"/>
      <c r="W122" s="50"/>
      <c r="X122" s="50"/>
      <c r="Y122" s="71"/>
      <c r="Z122" s="70"/>
    </row>
    <row r="123" spans="1:26" ht="20.25" customHeight="1">
      <c r="A123" s="45">
        <v>6</v>
      </c>
      <c r="B123" s="74" t="s">
        <v>473</v>
      </c>
      <c r="C123" s="51" t="s">
        <v>263</v>
      </c>
      <c r="D123" s="149" t="s">
        <v>604</v>
      </c>
      <c r="E123" s="50">
        <f>55*16</f>
        <v>880</v>
      </c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>
        <f>55*16</f>
        <v>880</v>
      </c>
      <c r="S123" s="50">
        <v>50</v>
      </c>
      <c r="T123" s="50"/>
      <c r="U123" s="50"/>
      <c r="V123" s="50"/>
      <c r="W123" s="50">
        <f>40*16</f>
        <v>640</v>
      </c>
      <c r="X123" s="50">
        <v>200</v>
      </c>
      <c r="Y123" s="71"/>
      <c r="Z123" s="70"/>
    </row>
    <row r="124" spans="1:26" ht="20.25" customHeight="1">
      <c r="A124" s="45">
        <v>7</v>
      </c>
      <c r="B124" s="74" t="s">
        <v>19</v>
      </c>
      <c r="C124" s="73" t="s">
        <v>4</v>
      </c>
      <c r="D124" s="71">
        <v>20142.2</v>
      </c>
      <c r="E124" s="50"/>
      <c r="F124" s="50"/>
      <c r="G124" s="50"/>
      <c r="H124" s="50">
        <f>16*60</f>
        <v>960</v>
      </c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71"/>
      <c r="Z124" s="70"/>
    </row>
    <row r="125" spans="1:26" ht="20.25" customHeight="1">
      <c r="A125" s="45">
        <v>8</v>
      </c>
      <c r="B125" s="74" t="s">
        <v>19</v>
      </c>
      <c r="C125" s="73" t="s">
        <v>11</v>
      </c>
      <c r="D125" s="71" t="s">
        <v>17</v>
      </c>
      <c r="E125" s="50">
        <f>60*16</f>
        <v>960</v>
      </c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71"/>
      <c r="Z125" s="70"/>
    </row>
    <row r="126" spans="1:26" ht="20.25" customHeight="1">
      <c r="A126" s="45">
        <v>9</v>
      </c>
      <c r="B126" s="74" t="s">
        <v>19</v>
      </c>
      <c r="C126" s="73" t="s">
        <v>18</v>
      </c>
      <c r="D126" s="149" t="s">
        <v>627</v>
      </c>
      <c r="E126" s="50"/>
      <c r="F126" s="50"/>
      <c r="G126" s="50"/>
      <c r="H126" s="50"/>
      <c r="I126" s="50"/>
      <c r="J126" s="50"/>
      <c r="K126" s="50"/>
      <c r="L126" s="50"/>
      <c r="M126" s="50">
        <f>60*16</f>
        <v>960</v>
      </c>
      <c r="N126" s="50">
        <v>50</v>
      </c>
      <c r="O126" s="50"/>
      <c r="P126" s="50"/>
      <c r="Q126" s="50"/>
      <c r="R126" s="50"/>
      <c r="S126" s="50"/>
      <c r="T126" s="50">
        <f>100*16</f>
        <v>1600</v>
      </c>
      <c r="U126" s="50"/>
      <c r="V126" s="50"/>
      <c r="W126" s="50"/>
      <c r="X126" s="50"/>
      <c r="Y126" s="71"/>
      <c r="Z126" s="70"/>
    </row>
    <row r="127" spans="1:26" ht="20.25" customHeight="1">
      <c r="A127" s="45">
        <v>10</v>
      </c>
      <c r="B127" s="74" t="s">
        <v>473</v>
      </c>
      <c r="C127" s="73" t="s">
        <v>297</v>
      </c>
      <c r="D127" s="71" t="s">
        <v>298</v>
      </c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>
        <f>16*100</f>
        <v>1600</v>
      </c>
      <c r="U127" s="50"/>
      <c r="V127" s="50"/>
      <c r="W127" s="50"/>
      <c r="X127" s="50"/>
      <c r="Y127" s="71"/>
      <c r="Z127" s="70"/>
    </row>
    <row r="128" spans="1:26" ht="20.25" customHeight="1">
      <c r="A128" s="45">
        <v>11</v>
      </c>
      <c r="B128" s="74" t="s">
        <v>473</v>
      </c>
      <c r="C128" s="73" t="s">
        <v>76</v>
      </c>
      <c r="D128" s="149" t="s">
        <v>672</v>
      </c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>
        <f>16*100+100*16+100*16</f>
        <v>4800</v>
      </c>
      <c r="U128" s="50"/>
      <c r="V128" s="50"/>
      <c r="W128" s="50"/>
      <c r="X128" s="50"/>
      <c r="Y128" s="71"/>
      <c r="Z128" s="70"/>
    </row>
    <row r="129" spans="1:26" ht="20.25" customHeight="1">
      <c r="A129" s="45">
        <v>12</v>
      </c>
      <c r="B129" s="74" t="s">
        <v>19</v>
      </c>
      <c r="C129" s="136" t="s">
        <v>42</v>
      </c>
      <c r="D129" s="71" t="s">
        <v>566</v>
      </c>
      <c r="E129" s="50">
        <f>40*16</f>
        <v>640</v>
      </c>
      <c r="F129" s="50"/>
      <c r="G129" s="50"/>
      <c r="H129" s="50">
        <f>16*60</f>
        <v>960</v>
      </c>
      <c r="I129" s="50"/>
      <c r="J129" s="50"/>
      <c r="K129" s="50"/>
      <c r="L129" s="50"/>
      <c r="M129" s="50">
        <f>50*16</f>
        <v>800</v>
      </c>
      <c r="N129" s="50">
        <v>50</v>
      </c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71"/>
      <c r="Z129" s="70"/>
    </row>
    <row r="130" spans="1:26" ht="20.25" customHeight="1">
      <c r="A130" s="45">
        <v>13</v>
      </c>
      <c r="B130" s="74" t="s">
        <v>19</v>
      </c>
      <c r="C130" s="73" t="s">
        <v>1</v>
      </c>
      <c r="D130" s="71" t="s">
        <v>77</v>
      </c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>
        <f>16*100</f>
        <v>1600</v>
      </c>
      <c r="W130" s="50"/>
      <c r="X130" s="50"/>
      <c r="Y130" s="71"/>
      <c r="Z130" s="70"/>
    </row>
    <row r="131" spans="1:26" ht="20.25" customHeight="1">
      <c r="A131" s="45">
        <v>14</v>
      </c>
      <c r="B131" s="74" t="s">
        <v>581</v>
      </c>
      <c r="C131" s="73" t="s">
        <v>571</v>
      </c>
      <c r="D131" s="71" t="s">
        <v>572</v>
      </c>
      <c r="E131" s="50">
        <f>55*16</f>
        <v>880</v>
      </c>
      <c r="F131" s="50"/>
      <c r="G131" s="50"/>
      <c r="H131" s="50"/>
      <c r="I131" s="50"/>
      <c r="K131" s="50"/>
      <c r="L131" s="50"/>
      <c r="M131" s="50">
        <f>55*16</f>
        <v>880</v>
      </c>
      <c r="N131" s="50">
        <v>50</v>
      </c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71"/>
      <c r="Z131" s="70"/>
    </row>
    <row r="132" spans="1:26" ht="20.25" customHeight="1">
      <c r="A132" s="45">
        <v>15</v>
      </c>
      <c r="B132" s="74" t="s">
        <v>581</v>
      </c>
      <c r="C132" s="73" t="s">
        <v>573</v>
      </c>
      <c r="D132" s="71" t="s">
        <v>105</v>
      </c>
      <c r="E132" s="50"/>
      <c r="F132" s="50"/>
      <c r="G132" s="50"/>
      <c r="H132" s="50">
        <f>60*16</f>
        <v>960</v>
      </c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>
        <f>50*16</f>
        <v>800</v>
      </c>
      <c r="X132" s="50">
        <v>200</v>
      </c>
      <c r="Y132" s="71"/>
      <c r="Z132" s="70"/>
    </row>
    <row r="133" spans="1:26" ht="20.25" customHeight="1">
      <c r="A133" s="45">
        <v>16</v>
      </c>
      <c r="B133" s="74" t="s">
        <v>581</v>
      </c>
      <c r="C133" s="73" t="s">
        <v>491</v>
      </c>
      <c r="D133" s="71" t="s">
        <v>492</v>
      </c>
      <c r="E133" s="50">
        <f>55*16</f>
        <v>880</v>
      </c>
      <c r="F133" s="50"/>
      <c r="G133" s="50"/>
      <c r="H133" s="50"/>
      <c r="I133" s="50"/>
      <c r="K133" s="50"/>
      <c r="L133" s="50"/>
      <c r="M133" s="50">
        <f>55*16</f>
        <v>880</v>
      </c>
      <c r="N133" s="50">
        <v>50</v>
      </c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71"/>
      <c r="Z133" s="70"/>
    </row>
    <row r="134" spans="1:26" ht="20.25" customHeight="1">
      <c r="A134" s="45">
        <v>17</v>
      </c>
      <c r="B134" s="74" t="s">
        <v>473</v>
      </c>
      <c r="C134" s="73" t="s">
        <v>597</v>
      </c>
      <c r="D134" s="71" t="s">
        <v>492</v>
      </c>
      <c r="E134" s="50"/>
      <c r="F134" s="50"/>
      <c r="G134" s="50">
        <f>50*16</f>
        <v>800</v>
      </c>
      <c r="H134" s="50"/>
      <c r="I134" s="50"/>
      <c r="J134" s="50"/>
      <c r="K134" s="50">
        <f>50*16</f>
        <v>800</v>
      </c>
      <c r="L134" s="50">
        <v>50</v>
      </c>
      <c r="M134" s="50"/>
      <c r="N134" s="50"/>
      <c r="O134" s="50"/>
      <c r="P134" s="50">
        <f>50*16</f>
        <v>800</v>
      </c>
      <c r="Q134" s="50">
        <v>50</v>
      </c>
      <c r="R134" s="50"/>
      <c r="S134" s="50"/>
      <c r="T134" s="50"/>
      <c r="U134" s="50"/>
      <c r="V134" s="50"/>
      <c r="W134" s="50"/>
      <c r="X134" s="50"/>
      <c r="Y134" s="71"/>
      <c r="Z134" s="70"/>
    </row>
    <row r="135" spans="1:26" ht="20.25" customHeight="1">
      <c r="A135" s="45">
        <v>18</v>
      </c>
      <c r="B135" s="74" t="s">
        <v>473</v>
      </c>
      <c r="C135" s="73" t="s">
        <v>75</v>
      </c>
      <c r="D135" s="71" t="s">
        <v>492</v>
      </c>
      <c r="E135" s="50"/>
      <c r="F135" s="50"/>
      <c r="G135" s="50">
        <f>60*16</f>
        <v>960</v>
      </c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71"/>
      <c r="Z135" s="70"/>
    </row>
    <row r="136" spans="1:26" ht="20.25" customHeight="1">
      <c r="A136" s="45">
        <v>19</v>
      </c>
      <c r="B136" s="74" t="s">
        <v>473</v>
      </c>
      <c r="C136" s="73" t="s">
        <v>22</v>
      </c>
      <c r="D136" s="71" t="s">
        <v>209</v>
      </c>
      <c r="E136" s="50"/>
      <c r="F136" s="50"/>
      <c r="G136" s="50"/>
      <c r="H136" s="50"/>
      <c r="I136" s="50"/>
      <c r="J136" s="50"/>
      <c r="K136" s="50"/>
      <c r="L136" s="50"/>
      <c r="M136" s="50">
        <f>55*16</f>
        <v>880</v>
      </c>
      <c r="N136" s="50">
        <v>50</v>
      </c>
      <c r="O136" s="50"/>
      <c r="P136" s="50"/>
      <c r="Q136" s="50"/>
      <c r="R136" s="50"/>
      <c r="S136" s="50"/>
      <c r="T136" s="50">
        <f>16*100</f>
        <v>1600</v>
      </c>
      <c r="U136" s="50"/>
      <c r="V136" s="50"/>
      <c r="W136" s="50">
        <f>55*16</f>
        <v>880</v>
      </c>
      <c r="X136" s="50">
        <v>200</v>
      </c>
      <c r="Y136" s="71"/>
      <c r="Z136" s="70"/>
    </row>
    <row r="137" spans="1:26" ht="20.25" customHeight="1">
      <c r="A137" s="45">
        <v>20</v>
      </c>
      <c r="B137" s="74" t="s">
        <v>473</v>
      </c>
      <c r="C137" s="73" t="s">
        <v>41</v>
      </c>
      <c r="D137" s="71" t="s">
        <v>43</v>
      </c>
      <c r="E137" s="50"/>
      <c r="F137" s="50"/>
      <c r="G137" s="50"/>
      <c r="H137" s="50"/>
      <c r="I137" s="50"/>
      <c r="J137" s="50"/>
      <c r="K137" s="50"/>
      <c r="L137" s="50"/>
      <c r="M137" s="50">
        <f>55*16</f>
        <v>880</v>
      </c>
      <c r="N137" s="50">
        <v>50</v>
      </c>
      <c r="O137" s="50"/>
      <c r="P137" s="50"/>
      <c r="Q137" s="50"/>
      <c r="R137" s="50">
        <f>55*16</f>
        <v>880</v>
      </c>
      <c r="S137" s="50">
        <v>50</v>
      </c>
      <c r="T137" s="50">
        <f>16*100</f>
        <v>1600</v>
      </c>
      <c r="U137" s="50"/>
      <c r="V137" s="50"/>
      <c r="W137" s="50"/>
      <c r="X137" s="50"/>
      <c r="Y137" s="71"/>
      <c r="Z137" s="70"/>
    </row>
    <row r="138" spans="1:26" ht="20.25" customHeight="1">
      <c r="A138" s="45">
        <v>21</v>
      </c>
      <c r="B138" s="74" t="s">
        <v>581</v>
      </c>
      <c r="C138" s="73" t="s">
        <v>502</v>
      </c>
      <c r="D138" s="71" t="s">
        <v>501</v>
      </c>
      <c r="E138" s="50"/>
      <c r="F138" s="50"/>
      <c r="G138" s="50"/>
      <c r="H138" s="50"/>
      <c r="I138" s="50"/>
      <c r="J138" s="50"/>
      <c r="K138" s="50">
        <f>60*16</f>
        <v>960</v>
      </c>
      <c r="L138" s="50">
        <v>50</v>
      </c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71"/>
      <c r="Z138" s="70"/>
    </row>
    <row r="139" spans="1:26" ht="20.25" customHeight="1">
      <c r="A139" s="45">
        <v>22</v>
      </c>
      <c r="B139" s="74" t="s">
        <v>581</v>
      </c>
      <c r="C139" s="73" t="s">
        <v>268</v>
      </c>
      <c r="D139" s="71" t="s">
        <v>503</v>
      </c>
      <c r="E139" s="50"/>
      <c r="F139" s="50"/>
      <c r="G139" s="50"/>
      <c r="H139" s="50"/>
      <c r="I139" s="50"/>
      <c r="J139" s="50"/>
      <c r="K139" s="50">
        <f>60*16</f>
        <v>960</v>
      </c>
      <c r="L139" s="50">
        <v>50</v>
      </c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71"/>
      <c r="Z139" s="70"/>
    </row>
    <row r="140" spans="1:26" ht="20.25" customHeight="1">
      <c r="A140" s="45">
        <v>23</v>
      </c>
      <c r="B140" s="74" t="s">
        <v>581</v>
      </c>
      <c r="C140" s="73" t="s">
        <v>143</v>
      </c>
      <c r="D140" s="71" t="s">
        <v>503</v>
      </c>
      <c r="E140" s="50">
        <f>50*16</f>
        <v>800</v>
      </c>
      <c r="F140" s="50"/>
      <c r="G140" s="50"/>
      <c r="H140" s="50"/>
      <c r="I140" s="50"/>
      <c r="J140" s="50"/>
      <c r="K140" s="50"/>
      <c r="L140" s="50"/>
      <c r="M140" s="50">
        <f>50*16</f>
        <v>800</v>
      </c>
      <c r="N140" s="50">
        <v>50</v>
      </c>
      <c r="O140" s="50"/>
      <c r="P140" s="50"/>
      <c r="Q140" s="50"/>
      <c r="R140" s="50">
        <f>50*16</f>
        <v>800</v>
      </c>
      <c r="S140" s="50">
        <v>50</v>
      </c>
      <c r="T140" s="50"/>
      <c r="U140" s="50"/>
      <c r="V140" s="50"/>
      <c r="W140" s="50"/>
      <c r="X140" s="50"/>
      <c r="Y140" s="71"/>
      <c r="Z140" s="70"/>
    </row>
    <row r="141" spans="1:26" ht="20.25" customHeight="1">
      <c r="A141" s="45">
        <v>24</v>
      </c>
      <c r="B141" s="74" t="s">
        <v>473</v>
      </c>
      <c r="C141" s="73" t="s">
        <v>397</v>
      </c>
      <c r="D141" s="71" t="s">
        <v>398</v>
      </c>
      <c r="E141" s="50">
        <f>60*16</f>
        <v>960</v>
      </c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71"/>
      <c r="Z141" s="70"/>
    </row>
    <row r="142" spans="1:26" ht="20.25" customHeight="1">
      <c r="A142" s="45">
        <v>25</v>
      </c>
      <c r="B142" s="74" t="s">
        <v>473</v>
      </c>
      <c r="C142" s="73" t="s">
        <v>389</v>
      </c>
      <c r="D142" s="71" t="s">
        <v>390</v>
      </c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>
        <f>8*60</f>
        <v>480</v>
      </c>
      <c r="X142" s="50">
        <v>200</v>
      </c>
      <c r="Y142" s="71"/>
      <c r="Z142" s="70"/>
    </row>
    <row r="143" spans="1:26" ht="20.25" customHeight="1">
      <c r="A143" s="45">
        <v>26</v>
      </c>
      <c r="B143" s="74" t="s">
        <v>473</v>
      </c>
      <c r="C143" s="73" t="s">
        <v>394</v>
      </c>
      <c r="D143" s="71" t="s">
        <v>390</v>
      </c>
      <c r="E143" s="50"/>
      <c r="F143" s="50"/>
      <c r="G143" s="166"/>
      <c r="H143" s="166">
        <f>55*16</f>
        <v>880</v>
      </c>
      <c r="I143" s="50"/>
      <c r="J143" s="50"/>
      <c r="K143" s="50"/>
      <c r="L143" s="50"/>
      <c r="M143" s="50">
        <f>55*16</f>
        <v>880</v>
      </c>
      <c r="N143" s="50">
        <v>50</v>
      </c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71"/>
      <c r="Z143" s="70"/>
    </row>
    <row r="144" spans="1:26" ht="20.25" customHeight="1">
      <c r="A144" s="45">
        <v>27</v>
      </c>
      <c r="B144" s="74" t="s">
        <v>473</v>
      </c>
      <c r="C144" s="73" t="s">
        <v>395</v>
      </c>
      <c r="D144" s="71" t="s">
        <v>390</v>
      </c>
      <c r="E144" s="50"/>
      <c r="F144" s="50"/>
      <c r="G144" s="50"/>
      <c r="H144" s="50"/>
      <c r="I144" s="50"/>
      <c r="J144" s="50"/>
      <c r="K144" s="50"/>
      <c r="L144" s="50"/>
      <c r="M144" s="50">
        <f>60*16</f>
        <v>960</v>
      </c>
      <c r="N144" s="50">
        <v>50</v>
      </c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71"/>
      <c r="Z144" s="70"/>
    </row>
    <row r="145" spans="1:26" ht="20.25" customHeight="1">
      <c r="A145" s="45">
        <v>28</v>
      </c>
      <c r="B145" s="74" t="s">
        <v>473</v>
      </c>
      <c r="C145" s="122" t="s">
        <v>475</v>
      </c>
      <c r="D145" s="71" t="s">
        <v>215</v>
      </c>
      <c r="E145" s="50"/>
      <c r="F145" s="50"/>
      <c r="G145" s="50"/>
      <c r="H145" s="50">
        <f>60*16</f>
        <v>960</v>
      </c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71"/>
      <c r="Z145" s="70"/>
    </row>
    <row r="146" spans="1:26" ht="20.25" customHeight="1">
      <c r="A146" s="45">
        <v>29</v>
      </c>
      <c r="B146" s="74" t="s">
        <v>473</v>
      </c>
      <c r="C146" s="132" t="s">
        <v>216</v>
      </c>
      <c r="D146" s="71" t="s">
        <v>417</v>
      </c>
      <c r="E146" s="50"/>
      <c r="F146" s="50"/>
      <c r="G146" s="50"/>
      <c r="H146" s="50"/>
      <c r="I146" s="50">
        <f>16*100</f>
        <v>1600</v>
      </c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>
        <f>60*16</f>
        <v>960</v>
      </c>
      <c r="X146" s="50">
        <v>200</v>
      </c>
      <c r="Y146" s="71"/>
      <c r="Z146" s="70"/>
    </row>
    <row r="147" spans="1:26" ht="20.25" customHeight="1">
      <c r="A147" s="45">
        <v>30</v>
      </c>
      <c r="B147" s="74" t="s">
        <v>473</v>
      </c>
      <c r="C147" s="135" t="s">
        <v>422</v>
      </c>
      <c r="D147" s="71" t="s">
        <v>325</v>
      </c>
      <c r="E147" s="50"/>
      <c r="F147" s="50"/>
      <c r="G147" s="50"/>
      <c r="H147" s="50"/>
      <c r="I147" s="50"/>
      <c r="J147" s="50"/>
      <c r="K147" s="50"/>
      <c r="L147" s="50"/>
      <c r="M147" s="50">
        <f>60*16</f>
        <v>960</v>
      </c>
      <c r="N147" s="50">
        <v>50</v>
      </c>
      <c r="O147" s="50"/>
      <c r="P147" s="50"/>
      <c r="Q147" s="50"/>
      <c r="R147" s="50"/>
      <c r="S147" s="50"/>
      <c r="T147" s="50">
        <f>16*100</f>
        <v>1600</v>
      </c>
      <c r="U147" s="50"/>
      <c r="V147" s="50"/>
      <c r="W147" s="50"/>
      <c r="X147" s="50"/>
      <c r="Y147" s="71"/>
      <c r="Z147" s="70"/>
    </row>
    <row r="148" spans="1:26" ht="20.25" customHeight="1">
      <c r="A148" s="45">
        <v>31</v>
      </c>
      <c r="B148" s="74" t="s">
        <v>473</v>
      </c>
      <c r="C148" s="123" t="s">
        <v>117</v>
      </c>
      <c r="D148" s="71" t="s">
        <v>116</v>
      </c>
      <c r="E148" s="50">
        <f>60*16</f>
        <v>960</v>
      </c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>
        <f>16*100</f>
        <v>1600</v>
      </c>
      <c r="U148" s="50"/>
      <c r="V148" s="50"/>
      <c r="W148" s="50"/>
      <c r="X148" s="50"/>
      <c r="Y148" s="71"/>
      <c r="Z148" s="70"/>
    </row>
    <row r="149" spans="1:26" ht="20.25" customHeight="1">
      <c r="A149" s="45">
        <v>32</v>
      </c>
      <c r="B149" s="74" t="s">
        <v>473</v>
      </c>
      <c r="C149" s="136" t="s">
        <v>619</v>
      </c>
      <c r="D149" s="71" t="s">
        <v>116</v>
      </c>
      <c r="E149" s="50"/>
      <c r="F149" s="50"/>
      <c r="G149" s="50"/>
      <c r="H149" s="50"/>
      <c r="I149" s="50">
        <f>16*100+1600</f>
        <v>3200</v>
      </c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71"/>
      <c r="Z149" s="70"/>
    </row>
    <row r="150" spans="1:26" ht="20.25" customHeight="1">
      <c r="A150" s="45">
        <v>33</v>
      </c>
      <c r="B150" s="74" t="s">
        <v>473</v>
      </c>
      <c r="C150" s="124" t="s">
        <v>443</v>
      </c>
      <c r="D150" s="71" t="s">
        <v>295</v>
      </c>
      <c r="E150" s="50">
        <f>60*16</f>
        <v>960</v>
      </c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71"/>
      <c r="Z150" s="70"/>
    </row>
    <row r="151" spans="1:26" ht="20.25" customHeight="1">
      <c r="A151" s="45">
        <v>34</v>
      </c>
      <c r="B151" s="74" t="s">
        <v>473</v>
      </c>
      <c r="C151" s="114" t="s">
        <v>296</v>
      </c>
      <c r="D151" s="71" t="s">
        <v>295</v>
      </c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>
        <f>16*100</f>
        <v>1600</v>
      </c>
      <c r="U151" s="50"/>
      <c r="V151" s="50"/>
      <c r="W151" s="50"/>
      <c r="X151" s="50"/>
      <c r="Y151" s="71"/>
      <c r="Z151" s="70"/>
    </row>
    <row r="152" spans="1:26" ht="20.25" customHeight="1">
      <c r="A152" s="45">
        <v>35</v>
      </c>
      <c r="B152" s="74" t="s">
        <v>473</v>
      </c>
      <c r="C152" s="125" t="s">
        <v>469</v>
      </c>
      <c r="D152" s="149" t="s">
        <v>648</v>
      </c>
      <c r="E152" s="50"/>
      <c r="F152" s="50"/>
      <c r="G152" s="50"/>
      <c r="H152" s="50"/>
      <c r="I152" s="50">
        <f>16*100+100*16</f>
        <v>3200</v>
      </c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71"/>
      <c r="Z152" s="70"/>
    </row>
    <row r="153" spans="1:26" ht="20.25" customHeight="1">
      <c r="A153" s="45">
        <v>36</v>
      </c>
      <c r="B153" s="74" t="s">
        <v>473</v>
      </c>
      <c r="C153" s="73" t="s">
        <v>106</v>
      </c>
      <c r="D153" s="71" t="s">
        <v>107</v>
      </c>
      <c r="E153" s="50"/>
      <c r="F153" s="50"/>
      <c r="G153" s="50">
        <f>60*16</f>
        <v>960</v>
      </c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71"/>
      <c r="Z153" s="70"/>
    </row>
    <row r="154" spans="1:26" ht="20.25" customHeight="1">
      <c r="A154" s="45">
        <v>37</v>
      </c>
      <c r="B154" s="74" t="s">
        <v>473</v>
      </c>
      <c r="C154" s="126" t="s">
        <v>379</v>
      </c>
      <c r="D154" s="71" t="s">
        <v>112</v>
      </c>
      <c r="E154" s="50"/>
      <c r="F154" s="50"/>
      <c r="G154" s="50"/>
      <c r="H154" s="50">
        <f>60*16</f>
        <v>960</v>
      </c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71"/>
      <c r="Z154" s="70"/>
    </row>
    <row r="155" spans="1:26" ht="20.25" customHeight="1">
      <c r="A155" s="45">
        <v>38</v>
      </c>
      <c r="B155" s="74" t="s">
        <v>473</v>
      </c>
      <c r="C155" s="127" t="s">
        <v>6</v>
      </c>
      <c r="D155" s="71" t="s">
        <v>5</v>
      </c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>
        <f>16*100</f>
        <v>1600</v>
      </c>
      <c r="U155" s="50"/>
      <c r="V155" s="50"/>
      <c r="W155" s="50"/>
      <c r="X155" s="50"/>
      <c r="Y155" s="71"/>
      <c r="Z155" s="70"/>
    </row>
    <row r="156" spans="1:26" ht="20.25" customHeight="1">
      <c r="A156" s="45">
        <v>39</v>
      </c>
      <c r="B156" s="74" t="s">
        <v>473</v>
      </c>
      <c r="C156" s="73" t="s">
        <v>7</v>
      </c>
      <c r="D156" s="71" t="s">
        <v>8</v>
      </c>
      <c r="E156" s="50"/>
      <c r="F156" s="50"/>
      <c r="G156" s="50"/>
      <c r="H156" s="50"/>
      <c r="I156" s="50">
        <f>16*100</f>
        <v>1600</v>
      </c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71"/>
      <c r="Z156" s="70"/>
    </row>
    <row r="157" spans="1:26" ht="20.25" customHeight="1">
      <c r="A157" s="45">
        <v>40</v>
      </c>
      <c r="B157" s="74" t="s">
        <v>473</v>
      </c>
      <c r="C157" s="73" t="s">
        <v>9</v>
      </c>
      <c r="D157" s="71" t="s">
        <v>8</v>
      </c>
      <c r="E157" s="50"/>
      <c r="F157" s="50"/>
      <c r="G157" s="50"/>
      <c r="H157" s="50"/>
      <c r="I157" s="50"/>
      <c r="J157" s="50"/>
      <c r="K157" s="50">
        <f>60*16</f>
        <v>960</v>
      </c>
      <c r="L157" s="50">
        <v>50</v>
      </c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71"/>
      <c r="Z157" s="70"/>
    </row>
    <row r="158" spans="1:26" ht="20.25" customHeight="1">
      <c r="A158" s="45">
        <v>41</v>
      </c>
      <c r="B158" s="74" t="s">
        <v>473</v>
      </c>
      <c r="C158" s="73" t="s">
        <v>10</v>
      </c>
      <c r="D158" s="149" t="s">
        <v>609</v>
      </c>
      <c r="E158" s="50"/>
      <c r="F158" s="50"/>
      <c r="G158" s="50"/>
      <c r="H158" s="50"/>
      <c r="I158" s="50">
        <f>100*16</f>
        <v>1600</v>
      </c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>
        <f>16*100</f>
        <v>1600</v>
      </c>
      <c r="U158" s="50"/>
      <c r="V158" s="50"/>
      <c r="W158" s="50"/>
      <c r="X158" s="50"/>
      <c r="Y158" s="71"/>
      <c r="Z158" s="70"/>
    </row>
    <row r="159" spans="1:26" ht="20.25" customHeight="1">
      <c r="A159" s="45">
        <v>42</v>
      </c>
      <c r="B159" s="74" t="s">
        <v>473</v>
      </c>
      <c r="C159" s="128" t="s">
        <v>58</v>
      </c>
      <c r="D159" s="71" t="s">
        <v>8</v>
      </c>
      <c r="E159" s="50"/>
      <c r="F159" s="50"/>
      <c r="G159" s="50"/>
      <c r="H159" s="50">
        <f>60*16</f>
        <v>960</v>
      </c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71"/>
      <c r="Z159" s="70"/>
    </row>
    <row r="160" spans="1:26" ht="20.25" customHeight="1">
      <c r="A160" s="45">
        <v>43</v>
      </c>
      <c r="B160" s="74" t="s">
        <v>473</v>
      </c>
      <c r="C160" s="73" t="s">
        <v>556</v>
      </c>
      <c r="D160" s="71" t="s">
        <v>557</v>
      </c>
      <c r="E160" s="50">
        <f>60*16</f>
        <v>960</v>
      </c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71"/>
      <c r="Z160" s="70"/>
    </row>
    <row r="161" spans="1:26" ht="20.25" customHeight="1">
      <c r="A161" s="45">
        <v>44</v>
      </c>
      <c r="B161" s="74" t="s">
        <v>473</v>
      </c>
      <c r="C161" s="73" t="s">
        <v>377</v>
      </c>
      <c r="D161" s="71" t="s">
        <v>378</v>
      </c>
      <c r="E161" s="50">
        <f>60*16</f>
        <v>960</v>
      </c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71"/>
      <c r="Z161" s="70"/>
    </row>
    <row r="162" spans="1:26" ht="20.25" customHeight="1">
      <c r="A162" s="45">
        <v>45</v>
      </c>
      <c r="B162" s="74" t="s">
        <v>473</v>
      </c>
      <c r="C162" s="130" t="s">
        <v>178</v>
      </c>
      <c r="D162" s="71" t="s">
        <v>180</v>
      </c>
      <c r="E162" s="50">
        <f>55*16-55*16</f>
        <v>0</v>
      </c>
      <c r="F162" s="50"/>
      <c r="G162" s="50"/>
      <c r="H162" s="50">
        <f>55*16-55*16</f>
        <v>0</v>
      </c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71"/>
      <c r="Z162" s="70"/>
    </row>
    <row r="163" spans="1:26" ht="20.25" customHeight="1">
      <c r="A163" s="45">
        <v>46</v>
      </c>
      <c r="B163" s="74" t="s">
        <v>473</v>
      </c>
      <c r="C163" s="130" t="s">
        <v>179</v>
      </c>
      <c r="D163" s="71" t="s">
        <v>180</v>
      </c>
      <c r="E163" s="50">
        <f>55*16-55*16</f>
        <v>0</v>
      </c>
      <c r="F163" s="50"/>
      <c r="G163" s="50"/>
      <c r="H163" s="50">
        <f>55*16-55*16</f>
        <v>0</v>
      </c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71"/>
      <c r="Z163" s="70"/>
    </row>
    <row r="164" spans="1:26" ht="20.25" customHeight="1">
      <c r="A164" s="45">
        <v>47</v>
      </c>
      <c r="B164" s="74" t="s">
        <v>473</v>
      </c>
      <c r="C164" s="73" t="s">
        <v>68</v>
      </c>
      <c r="D164" s="71" t="s">
        <v>69</v>
      </c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>
        <f>60*16</f>
        <v>960</v>
      </c>
      <c r="S164" s="50">
        <v>50</v>
      </c>
      <c r="T164" s="50"/>
      <c r="U164" s="50"/>
      <c r="V164" s="50"/>
      <c r="W164" s="50"/>
      <c r="X164" s="50"/>
      <c r="Y164" s="71"/>
      <c r="Z164" s="70"/>
    </row>
    <row r="165" spans="1:26" ht="20.25" customHeight="1">
      <c r="A165" s="45">
        <v>48</v>
      </c>
      <c r="B165" s="74" t="s">
        <v>473</v>
      </c>
      <c r="C165" s="131" t="s">
        <v>479</v>
      </c>
      <c r="D165" s="71" t="s">
        <v>589</v>
      </c>
      <c r="E165" s="50"/>
      <c r="F165" s="50"/>
      <c r="G165" s="50"/>
      <c r="H165" s="50"/>
      <c r="I165" s="50"/>
      <c r="J165" s="50"/>
      <c r="K165" s="50"/>
      <c r="L165" s="50"/>
      <c r="M165" s="50">
        <f>60*16</f>
        <v>960</v>
      </c>
      <c r="N165" s="50">
        <v>50</v>
      </c>
      <c r="O165" s="50"/>
      <c r="P165" s="50"/>
      <c r="Q165" s="50"/>
      <c r="R165" s="50"/>
      <c r="S165" s="50"/>
      <c r="T165" s="50">
        <f>16*100</f>
        <v>1600</v>
      </c>
      <c r="U165" s="50"/>
      <c r="V165" s="50"/>
      <c r="W165" s="50"/>
      <c r="X165" s="50"/>
      <c r="Y165" s="71"/>
      <c r="Z165" s="70"/>
    </row>
    <row r="166" spans="1:26" ht="20.25" customHeight="1">
      <c r="A166" s="45">
        <v>49</v>
      </c>
      <c r="B166" s="74" t="s">
        <v>473</v>
      </c>
      <c r="C166" s="131" t="s">
        <v>593</v>
      </c>
      <c r="D166" s="71" t="s">
        <v>594</v>
      </c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>
        <f>60*16</f>
        <v>960</v>
      </c>
      <c r="X166" s="50">
        <v>200</v>
      </c>
      <c r="Y166" s="71"/>
      <c r="Z166" s="70"/>
    </row>
    <row r="167" spans="1:26" ht="20.25" customHeight="1">
      <c r="A167" s="45">
        <v>50</v>
      </c>
      <c r="B167" s="74" t="s">
        <v>473</v>
      </c>
      <c r="C167" s="73" t="s">
        <v>548</v>
      </c>
      <c r="D167" s="149" t="s">
        <v>666</v>
      </c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>
        <f>60*16</f>
        <v>960</v>
      </c>
      <c r="Q167" s="50">
        <v>50</v>
      </c>
      <c r="R167" s="50"/>
      <c r="S167" s="50"/>
      <c r="T167" s="50">
        <f>16*100+100*16</f>
        <v>3200</v>
      </c>
      <c r="U167" s="50"/>
      <c r="V167" s="50"/>
      <c r="W167" s="50"/>
      <c r="X167" s="50"/>
      <c r="Y167" s="71"/>
      <c r="Z167" s="70"/>
    </row>
    <row r="168" spans="1:26" ht="20.25" customHeight="1">
      <c r="A168" s="45">
        <v>51</v>
      </c>
      <c r="B168" s="74" t="s">
        <v>473</v>
      </c>
      <c r="C168" s="133" t="s">
        <v>245</v>
      </c>
      <c r="D168" s="71" t="s">
        <v>244</v>
      </c>
      <c r="E168" s="50"/>
      <c r="F168" s="50"/>
      <c r="G168" s="50"/>
      <c r="H168" s="50">
        <f>60*16</f>
        <v>960</v>
      </c>
      <c r="I168" s="50"/>
      <c r="J168" s="50"/>
      <c r="K168" s="50"/>
      <c r="L168" s="50"/>
      <c r="M168" s="50">
        <f>45*16</f>
        <v>720</v>
      </c>
      <c r="N168" s="50">
        <v>50</v>
      </c>
      <c r="O168" s="50"/>
      <c r="P168" s="50"/>
      <c r="Q168" s="50"/>
      <c r="R168" s="50">
        <f>45*16</f>
        <v>720</v>
      </c>
      <c r="S168" s="50">
        <v>50</v>
      </c>
      <c r="T168" s="50"/>
      <c r="U168" s="50"/>
      <c r="V168" s="50"/>
      <c r="W168" s="50"/>
      <c r="X168" s="50"/>
      <c r="Y168" s="71"/>
      <c r="Z168" s="70"/>
    </row>
    <row r="169" spans="1:26" ht="20.25" customHeight="1">
      <c r="A169" s="45">
        <v>52</v>
      </c>
      <c r="B169" s="74" t="s">
        <v>473</v>
      </c>
      <c r="C169" s="73" t="s">
        <v>338</v>
      </c>
      <c r="D169" s="71" t="s">
        <v>339</v>
      </c>
      <c r="E169" s="50"/>
      <c r="F169" s="50"/>
      <c r="G169" s="50"/>
      <c r="H169" s="50">
        <f>60*16</f>
        <v>960</v>
      </c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71"/>
      <c r="Z169" s="70"/>
    </row>
    <row r="170" spans="1:26" ht="20.25" customHeight="1">
      <c r="A170" s="45">
        <v>53</v>
      </c>
      <c r="B170" s="74" t="s">
        <v>473</v>
      </c>
      <c r="C170" s="73" t="s">
        <v>12</v>
      </c>
      <c r="D170" s="71" t="s">
        <v>13</v>
      </c>
      <c r="E170" s="50">
        <f>60*16</f>
        <v>960</v>
      </c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71"/>
      <c r="Z170" s="70"/>
    </row>
    <row r="171" spans="1:26" ht="20.25" customHeight="1">
      <c r="A171" s="45">
        <v>54</v>
      </c>
      <c r="B171" s="74" t="s">
        <v>473</v>
      </c>
      <c r="C171" s="73" t="s">
        <v>14</v>
      </c>
      <c r="D171" s="71" t="s">
        <v>15</v>
      </c>
      <c r="E171" s="50"/>
      <c r="F171" s="50"/>
      <c r="G171" s="50"/>
      <c r="H171" s="50">
        <f>55*16</f>
        <v>880</v>
      </c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>
        <f>55*16</f>
        <v>880</v>
      </c>
      <c r="X171" s="50">
        <v>200</v>
      </c>
      <c r="Y171" s="71"/>
      <c r="Z171" s="70"/>
    </row>
    <row r="172" spans="1:26" ht="20.25" customHeight="1">
      <c r="A172" s="45">
        <v>55</v>
      </c>
      <c r="B172" s="74" t="s">
        <v>473</v>
      </c>
      <c r="C172" s="73" t="s">
        <v>16</v>
      </c>
      <c r="D172" s="71" t="s">
        <v>15</v>
      </c>
      <c r="E172" s="50">
        <f>60*16-60*16</f>
        <v>0</v>
      </c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71"/>
      <c r="Z172" s="70"/>
    </row>
    <row r="173" spans="1:26" ht="20.25" customHeight="1">
      <c r="A173" s="45">
        <v>56</v>
      </c>
      <c r="B173" s="74" t="s">
        <v>473</v>
      </c>
      <c r="C173" s="73" t="s">
        <v>552</v>
      </c>
      <c r="D173" s="71" t="s">
        <v>553</v>
      </c>
      <c r="E173" s="50">
        <f>60*16</f>
        <v>960</v>
      </c>
      <c r="F173" s="50"/>
      <c r="G173" s="50"/>
      <c r="H173" s="50"/>
      <c r="I173" s="50">
        <f>16*100</f>
        <v>1600</v>
      </c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71"/>
      <c r="Z173" s="70"/>
    </row>
    <row r="174" spans="1:26" ht="20.25" customHeight="1">
      <c r="A174" s="45">
        <v>57</v>
      </c>
      <c r="B174" s="74" t="s">
        <v>473</v>
      </c>
      <c r="C174" s="73" t="s">
        <v>555</v>
      </c>
      <c r="D174" s="71" t="s">
        <v>553</v>
      </c>
      <c r="E174" s="50">
        <f>50*16+10*16</f>
        <v>960</v>
      </c>
      <c r="F174" s="50"/>
      <c r="G174" s="50"/>
      <c r="H174" s="50"/>
      <c r="I174" s="50"/>
      <c r="J174" s="50"/>
      <c r="K174" s="50"/>
      <c r="L174" s="50"/>
      <c r="M174" s="50">
        <f>50*16-50*16</f>
        <v>0</v>
      </c>
      <c r="N174" s="50">
        <v>50</v>
      </c>
      <c r="O174" s="50"/>
      <c r="P174" s="50"/>
      <c r="Q174" s="50"/>
      <c r="R174" s="50">
        <f>50*16-50*16</f>
        <v>0</v>
      </c>
      <c r="S174" s="50">
        <v>50</v>
      </c>
      <c r="T174" s="50"/>
      <c r="U174" s="50"/>
      <c r="V174" s="50"/>
      <c r="W174" s="50">
        <f>50*16-50*16</f>
        <v>0</v>
      </c>
      <c r="X174" s="50">
        <v>200</v>
      </c>
      <c r="Y174" s="71"/>
      <c r="Z174" s="70"/>
    </row>
    <row r="175" spans="1:26" ht="20.25" customHeight="1">
      <c r="A175" s="45">
        <v>58</v>
      </c>
      <c r="B175" s="74" t="s">
        <v>473</v>
      </c>
      <c r="C175" s="73" t="s">
        <v>595</v>
      </c>
      <c r="D175" s="71" t="s">
        <v>596</v>
      </c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>
        <f>16*100</f>
        <v>1600</v>
      </c>
      <c r="U175" s="50"/>
      <c r="V175" s="50"/>
      <c r="W175" s="50"/>
      <c r="X175" s="50"/>
      <c r="Y175" s="71"/>
      <c r="Z175" s="70"/>
    </row>
    <row r="176" spans="1:26" ht="20.25" customHeight="1">
      <c r="A176" s="45">
        <v>59</v>
      </c>
      <c r="B176" s="74" t="s">
        <v>19</v>
      </c>
      <c r="C176" s="136" t="s">
        <v>602</v>
      </c>
      <c r="D176" s="149" t="s">
        <v>603</v>
      </c>
      <c r="E176" s="50">
        <f>60*16</f>
        <v>960</v>
      </c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71"/>
      <c r="Z176" s="70"/>
    </row>
    <row r="177" spans="1:26" ht="20.25" customHeight="1">
      <c r="A177" s="45">
        <v>60</v>
      </c>
      <c r="B177" s="74" t="s">
        <v>19</v>
      </c>
      <c r="C177" s="136" t="s">
        <v>614</v>
      </c>
      <c r="D177" s="149" t="s">
        <v>615</v>
      </c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>
        <f>60*16</f>
        <v>960</v>
      </c>
      <c r="S177" s="50">
        <v>50</v>
      </c>
      <c r="T177" s="50"/>
      <c r="U177" s="50"/>
      <c r="V177" s="50"/>
      <c r="W177" s="50"/>
      <c r="X177" s="50"/>
      <c r="Y177" s="71"/>
      <c r="Z177" s="70"/>
    </row>
    <row r="178" spans="1:26" ht="20.25" customHeight="1">
      <c r="A178" s="45">
        <v>61</v>
      </c>
      <c r="B178" s="74" t="s">
        <v>19</v>
      </c>
      <c r="C178" s="136" t="s">
        <v>616</v>
      </c>
      <c r="D178" s="149" t="s">
        <v>618</v>
      </c>
      <c r="E178" s="50"/>
      <c r="F178" s="50"/>
      <c r="G178" s="50">
        <v>780</v>
      </c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71"/>
      <c r="Z178" s="70"/>
    </row>
    <row r="179" spans="1:26" ht="20.25" customHeight="1">
      <c r="A179" s="45">
        <v>62</v>
      </c>
      <c r="B179" s="74" t="s">
        <v>19</v>
      </c>
      <c r="C179" s="136" t="s">
        <v>617</v>
      </c>
      <c r="D179" s="149" t="s">
        <v>618</v>
      </c>
      <c r="E179" s="50"/>
      <c r="F179" s="50"/>
      <c r="G179" s="50">
        <v>780</v>
      </c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71"/>
      <c r="Z179" s="70"/>
    </row>
    <row r="180" spans="1:26" ht="20.25" customHeight="1">
      <c r="A180" s="45">
        <v>63</v>
      </c>
      <c r="B180" s="74" t="s">
        <v>630</v>
      </c>
      <c r="C180" s="136" t="s">
        <v>631</v>
      </c>
      <c r="D180" s="149" t="s">
        <v>632</v>
      </c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>
        <f>100*12</f>
        <v>1200</v>
      </c>
      <c r="V180" s="50"/>
      <c r="W180" s="50"/>
      <c r="X180" s="50"/>
      <c r="Y180" s="71"/>
      <c r="Z180" s="70"/>
    </row>
    <row r="181" spans="1:26" ht="20.25" customHeight="1">
      <c r="A181" s="45">
        <v>64</v>
      </c>
      <c r="B181" s="74" t="s">
        <v>645</v>
      </c>
      <c r="C181" s="136" t="s">
        <v>646</v>
      </c>
      <c r="D181" s="149" t="s">
        <v>647</v>
      </c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>
        <f>100*16</f>
        <v>1600</v>
      </c>
      <c r="U181" s="50"/>
      <c r="V181" s="50"/>
      <c r="W181" s="50"/>
      <c r="X181" s="50"/>
      <c r="Y181" s="71"/>
      <c r="Z181" s="70"/>
    </row>
    <row r="182" spans="1:26" ht="21" customHeight="1">
      <c r="A182" s="121" t="s">
        <v>240</v>
      </c>
      <c r="B182" s="121"/>
      <c r="C182" s="121"/>
      <c r="D182" s="121"/>
      <c r="E182" s="103">
        <f t="shared" ref="E182:X182" si="1">SUM(E118:E179)</f>
        <v>13680</v>
      </c>
      <c r="F182" s="103">
        <f t="shared" si="1"/>
        <v>0</v>
      </c>
      <c r="G182" s="103">
        <f t="shared" si="1"/>
        <v>4280</v>
      </c>
      <c r="H182" s="103">
        <f t="shared" si="1"/>
        <v>9440</v>
      </c>
      <c r="I182" s="103">
        <f t="shared" si="1"/>
        <v>12800</v>
      </c>
      <c r="J182" s="103">
        <f t="shared" si="1"/>
        <v>0</v>
      </c>
      <c r="K182" s="103">
        <f t="shared" si="1"/>
        <v>3680</v>
      </c>
      <c r="L182" s="103">
        <f t="shared" si="1"/>
        <v>200</v>
      </c>
      <c r="M182" s="103">
        <f t="shared" si="1"/>
        <v>11520</v>
      </c>
      <c r="N182" s="103">
        <f t="shared" si="1"/>
        <v>700</v>
      </c>
      <c r="O182" s="103">
        <f t="shared" si="1"/>
        <v>0</v>
      </c>
      <c r="P182" s="103">
        <f t="shared" si="1"/>
        <v>2720</v>
      </c>
      <c r="Q182" s="103">
        <f t="shared" si="1"/>
        <v>150</v>
      </c>
      <c r="R182" s="103">
        <f t="shared" si="1"/>
        <v>5200</v>
      </c>
      <c r="S182" s="103">
        <f t="shared" si="1"/>
        <v>350</v>
      </c>
      <c r="T182" s="103">
        <f t="shared" si="1"/>
        <v>35200</v>
      </c>
      <c r="U182" s="103">
        <f t="shared" si="1"/>
        <v>0</v>
      </c>
      <c r="V182" s="103">
        <f t="shared" si="1"/>
        <v>1600</v>
      </c>
      <c r="W182" s="103">
        <f t="shared" si="1"/>
        <v>5600</v>
      </c>
      <c r="X182" s="103">
        <f t="shared" si="1"/>
        <v>1600</v>
      </c>
      <c r="Y182" s="71"/>
      <c r="Z182" s="70"/>
    </row>
    <row r="183" spans="1:26" ht="21" customHeight="1">
      <c r="A183" s="215" t="s">
        <v>1690</v>
      </c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7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</row>
    <row r="184" spans="1:26" ht="21" customHeight="1">
      <c r="A184" s="192">
        <v>1</v>
      </c>
      <c r="B184" s="152" t="s">
        <v>1688</v>
      </c>
      <c r="C184" s="121"/>
      <c r="D184" s="121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71"/>
      <c r="Z184" s="70"/>
    </row>
    <row r="185" spans="1:26" ht="21" customHeight="1">
      <c r="A185" s="192">
        <v>2</v>
      </c>
      <c r="B185" s="152" t="s">
        <v>1688</v>
      </c>
      <c r="C185" s="121"/>
      <c r="D185" s="121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71"/>
      <c r="Z185" s="70"/>
    </row>
    <row r="186" spans="1:26" ht="21" customHeight="1">
      <c r="A186" s="192">
        <v>3</v>
      </c>
      <c r="B186" s="152" t="s">
        <v>1688</v>
      </c>
      <c r="C186" s="121"/>
      <c r="D186" s="121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71"/>
      <c r="Z186" s="70"/>
    </row>
    <row r="187" spans="1:26" ht="21" customHeight="1">
      <c r="A187" s="192">
        <v>4</v>
      </c>
      <c r="B187" s="152" t="s">
        <v>1688</v>
      </c>
      <c r="C187" s="121"/>
      <c r="D187" s="121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71"/>
      <c r="Z187" s="70"/>
    </row>
    <row r="188" spans="1:26" ht="21" customHeight="1">
      <c r="A188" s="192">
        <v>5</v>
      </c>
      <c r="B188" s="152" t="s">
        <v>1688</v>
      </c>
      <c r="C188" s="121"/>
      <c r="D188" s="121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71"/>
      <c r="Z188" s="70"/>
    </row>
    <row r="189" spans="1:26" ht="21" customHeight="1">
      <c r="A189" s="210" t="s">
        <v>1689</v>
      </c>
      <c r="B189" s="213"/>
      <c r="C189" s="213"/>
      <c r="D189" s="214"/>
      <c r="E189" s="103">
        <f>SUM(E184:E188)</f>
        <v>0</v>
      </c>
      <c r="F189" s="103">
        <f t="shared" ref="F189:X189" si="2">SUM(F184:F188)</f>
        <v>0</v>
      </c>
      <c r="G189" s="103">
        <f t="shared" si="2"/>
        <v>0</v>
      </c>
      <c r="H189" s="103">
        <f t="shared" si="2"/>
        <v>0</v>
      </c>
      <c r="I189" s="103">
        <f t="shared" si="2"/>
        <v>0</v>
      </c>
      <c r="J189" s="103">
        <f t="shared" si="2"/>
        <v>0</v>
      </c>
      <c r="K189" s="103">
        <f t="shared" si="2"/>
        <v>0</v>
      </c>
      <c r="L189" s="103">
        <f t="shared" si="2"/>
        <v>0</v>
      </c>
      <c r="M189" s="103">
        <f t="shared" si="2"/>
        <v>0</v>
      </c>
      <c r="N189" s="103">
        <f t="shared" si="2"/>
        <v>0</v>
      </c>
      <c r="O189" s="103">
        <f t="shared" si="2"/>
        <v>0</v>
      </c>
      <c r="P189" s="103">
        <f t="shared" si="2"/>
        <v>0</v>
      </c>
      <c r="Q189" s="103">
        <f t="shared" si="2"/>
        <v>0</v>
      </c>
      <c r="R189" s="103">
        <f t="shared" si="2"/>
        <v>0</v>
      </c>
      <c r="S189" s="103">
        <f t="shared" si="2"/>
        <v>0</v>
      </c>
      <c r="T189" s="103">
        <f t="shared" si="2"/>
        <v>0</v>
      </c>
      <c r="U189" s="103">
        <f t="shared" si="2"/>
        <v>0</v>
      </c>
      <c r="V189" s="103">
        <f t="shared" si="2"/>
        <v>0</v>
      </c>
      <c r="W189" s="103">
        <f t="shared" si="2"/>
        <v>0</v>
      </c>
      <c r="X189" s="103">
        <f t="shared" si="2"/>
        <v>0</v>
      </c>
      <c r="Y189" s="71"/>
      <c r="Z189" s="70"/>
    </row>
    <row r="190" spans="1:26" ht="20.25" customHeight="1">
      <c r="A190" s="210" t="s">
        <v>241</v>
      </c>
      <c r="B190" s="211"/>
      <c r="C190" s="211"/>
      <c r="D190" s="212"/>
      <c r="E190" s="103">
        <f>E8+E64+E116+E182+E189</f>
        <v>27010</v>
      </c>
      <c r="F190" s="103">
        <f t="shared" ref="F190:X190" si="3">F8+F64+F116+F182+F189</f>
        <v>3520</v>
      </c>
      <c r="G190" s="103">
        <f t="shared" si="3"/>
        <v>28040</v>
      </c>
      <c r="H190" s="103">
        <f t="shared" si="3"/>
        <v>9440</v>
      </c>
      <c r="I190" s="103">
        <f t="shared" si="3"/>
        <v>57600</v>
      </c>
      <c r="J190" s="103">
        <f t="shared" si="3"/>
        <v>18160</v>
      </c>
      <c r="K190" s="103">
        <f t="shared" si="3"/>
        <v>21920</v>
      </c>
      <c r="L190" s="103">
        <f t="shared" si="3"/>
        <v>1450</v>
      </c>
      <c r="M190" s="103">
        <f t="shared" si="3"/>
        <v>11520</v>
      </c>
      <c r="N190" s="103">
        <f t="shared" si="3"/>
        <v>700</v>
      </c>
      <c r="O190" s="103">
        <f t="shared" si="3"/>
        <v>5280</v>
      </c>
      <c r="P190" s="103">
        <f t="shared" si="3"/>
        <v>21200</v>
      </c>
      <c r="Q190" s="103">
        <f t="shared" si="3"/>
        <v>1250</v>
      </c>
      <c r="R190" s="103">
        <f t="shared" si="3"/>
        <v>5200</v>
      </c>
      <c r="S190" s="103">
        <f t="shared" si="3"/>
        <v>350</v>
      </c>
      <c r="T190" s="103">
        <f t="shared" si="3"/>
        <v>131860</v>
      </c>
      <c r="U190" s="103">
        <f t="shared" si="3"/>
        <v>1200</v>
      </c>
      <c r="V190" s="103">
        <f t="shared" si="3"/>
        <v>1600</v>
      </c>
      <c r="W190" s="103">
        <f t="shared" si="3"/>
        <v>5600</v>
      </c>
      <c r="X190" s="103">
        <f t="shared" si="3"/>
        <v>1600</v>
      </c>
      <c r="Y190" s="71"/>
      <c r="Z190" s="70"/>
    </row>
    <row r="191" spans="1:26" ht="14.25">
      <c r="A191" s="45"/>
      <c r="B191" s="74"/>
      <c r="C191" s="73"/>
      <c r="D191" s="71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71"/>
      <c r="Z191" s="70"/>
    </row>
    <row r="192" spans="1:26" ht="14.25">
      <c r="A192" s="45"/>
      <c r="B192" s="74"/>
      <c r="C192" s="73"/>
      <c r="D192" s="71"/>
      <c r="E192" s="50"/>
      <c r="F192" s="50"/>
      <c r="G192" s="50"/>
      <c r="H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71"/>
      <c r="Z192" s="70"/>
    </row>
    <row r="193" spans="1:26" ht="14.25">
      <c r="A193" s="45"/>
      <c r="B193" s="74"/>
      <c r="C193" s="73"/>
      <c r="D193" s="71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71"/>
      <c r="Z193" s="70"/>
    </row>
    <row r="194" spans="1:26" ht="14.25">
      <c r="A194" s="45"/>
      <c r="B194" s="74"/>
      <c r="C194" s="73"/>
      <c r="D194" s="71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71"/>
      <c r="Z194" s="70"/>
    </row>
    <row r="195" spans="1:26" ht="14.25">
      <c r="A195" s="45"/>
      <c r="B195" s="74"/>
      <c r="C195" s="73"/>
      <c r="D195" s="71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71"/>
      <c r="Z195" s="70"/>
    </row>
    <row r="196" spans="1:26" ht="14.25">
      <c r="A196" s="45"/>
      <c r="B196" s="74"/>
      <c r="C196" s="73"/>
      <c r="D196" s="71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71"/>
      <c r="Z196" s="70"/>
    </row>
    <row r="197" spans="1:26" ht="14.25">
      <c r="A197" s="45"/>
      <c r="B197" s="74"/>
      <c r="C197" s="73"/>
      <c r="D197" s="71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71"/>
      <c r="Z197" s="70"/>
    </row>
    <row r="198" spans="1:26" ht="14.25">
      <c r="A198" s="45"/>
      <c r="B198" s="74"/>
      <c r="C198" s="73"/>
      <c r="D198" s="71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71"/>
      <c r="Z198" s="70"/>
    </row>
  </sheetData>
  <mergeCells count="4">
    <mergeCell ref="A8:D8"/>
    <mergeCell ref="A190:D190"/>
    <mergeCell ref="A189:D189"/>
    <mergeCell ref="A183:L183"/>
  </mergeCells>
  <phoneticPr fontId="14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9"/>
  <sheetViews>
    <sheetView tabSelected="1" workbookViewId="0">
      <pane ySplit="2" topLeftCell="A3" activePane="bottomLeft" state="frozenSplit"/>
      <selection pane="bottomLeft" activeCell="I2" sqref="I1:I1048576"/>
    </sheetView>
  </sheetViews>
  <sheetFormatPr defaultRowHeight="13.5"/>
  <cols>
    <col min="3" max="3" width="10.625" customWidth="1"/>
    <col min="5" max="5" width="27.875" customWidth="1"/>
    <col min="6" max="6" width="13.25" customWidth="1"/>
    <col min="7" max="7" width="24.375" customWidth="1"/>
    <col min="8" max="8" width="23.5" customWidth="1"/>
    <col min="9" max="9" width="25.25" customWidth="1"/>
  </cols>
  <sheetData>
    <row r="1" spans="1:9" ht="33.75" customHeight="1">
      <c r="A1" s="218" t="s">
        <v>729</v>
      </c>
      <c r="B1" s="219"/>
      <c r="C1" s="219"/>
      <c r="D1" s="219"/>
      <c r="E1" s="219"/>
      <c r="F1" s="219"/>
      <c r="G1" s="219"/>
      <c r="H1" s="219"/>
      <c r="I1" s="220"/>
    </row>
    <row r="2" spans="1:9" s="165" customFormat="1" ht="27" customHeight="1">
      <c r="A2" s="116" t="s">
        <v>730</v>
      </c>
      <c r="B2" s="116" t="s">
        <v>731</v>
      </c>
      <c r="C2" s="116" t="s">
        <v>732</v>
      </c>
      <c r="D2" s="116" t="s">
        <v>733</v>
      </c>
      <c r="E2" s="116" t="s">
        <v>734</v>
      </c>
      <c r="F2" s="116" t="s">
        <v>735</v>
      </c>
      <c r="G2" s="116" t="s">
        <v>736</v>
      </c>
      <c r="H2" s="116" t="s">
        <v>737</v>
      </c>
      <c r="I2" s="116" t="s">
        <v>738</v>
      </c>
    </row>
    <row r="3" spans="1:9" ht="13.5" customHeight="1">
      <c r="A3" s="70">
        <v>1</v>
      </c>
      <c r="B3" s="74" t="s">
        <v>19</v>
      </c>
      <c r="C3" s="152" t="s">
        <v>745</v>
      </c>
      <c r="D3" s="152" t="s">
        <v>740</v>
      </c>
      <c r="E3" s="152" t="s">
        <v>759</v>
      </c>
      <c r="F3" s="50">
        <f>80+80</f>
        <v>160</v>
      </c>
      <c r="G3" s="152" t="s">
        <v>741</v>
      </c>
      <c r="H3" s="152" t="s">
        <v>742</v>
      </c>
      <c r="I3" s="154" t="s">
        <v>958</v>
      </c>
    </row>
    <row r="4" spans="1:9" ht="14.25">
      <c r="A4" s="70">
        <v>2</v>
      </c>
      <c r="B4" s="74" t="s">
        <v>19</v>
      </c>
      <c r="C4" s="152" t="s">
        <v>745</v>
      </c>
      <c r="D4" s="152" t="s">
        <v>743</v>
      </c>
      <c r="E4" s="152" t="s">
        <v>746</v>
      </c>
      <c r="F4" s="50">
        <f>80+80</f>
        <v>160</v>
      </c>
      <c r="G4" s="152" t="s">
        <v>744</v>
      </c>
      <c r="H4" s="152" t="s">
        <v>742</v>
      </c>
      <c r="I4" s="154" t="s">
        <v>959</v>
      </c>
    </row>
    <row r="5" spans="1:9" ht="14.25">
      <c r="A5" s="70">
        <v>3</v>
      </c>
      <c r="B5" s="74" t="s">
        <v>19</v>
      </c>
      <c r="C5" s="152" t="s">
        <v>745</v>
      </c>
      <c r="D5" s="152" t="s">
        <v>747</v>
      </c>
      <c r="E5" s="152" t="s">
        <v>760</v>
      </c>
      <c r="F5" s="50">
        <f>80+80</f>
        <v>160</v>
      </c>
      <c r="G5" s="152" t="s">
        <v>748</v>
      </c>
      <c r="H5" s="152" t="s">
        <v>742</v>
      </c>
      <c r="I5" s="154"/>
    </row>
    <row r="6" spans="1:9" ht="14.25">
      <c r="A6" s="70">
        <v>4</v>
      </c>
      <c r="B6" s="74" t="s">
        <v>19</v>
      </c>
      <c r="C6" s="152" t="s">
        <v>745</v>
      </c>
      <c r="D6" s="152" t="s">
        <v>752</v>
      </c>
      <c r="E6" s="152" t="s">
        <v>762</v>
      </c>
      <c r="F6" s="50">
        <f>80+80</f>
        <v>160</v>
      </c>
      <c r="G6" s="152" t="s">
        <v>753</v>
      </c>
      <c r="H6" s="152" t="s">
        <v>742</v>
      </c>
      <c r="I6" s="154"/>
    </row>
    <row r="7" spans="1:9" ht="14.25">
      <c r="A7" s="70">
        <v>5</v>
      </c>
      <c r="B7" s="74" t="s">
        <v>19</v>
      </c>
      <c r="C7" s="152" t="s">
        <v>921</v>
      </c>
      <c r="D7" s="152" t="s">
        <v>790</v>
      </c>
      <c r="E7" s="152" t="s">
        <v>791</v>
      </c>
      <c r="F7" s="50">
        <f>80</f>
        <v>80</v>
      </c>
      <c r="G7" s="152" t="s">
        <v>877</v>
      </c>
      <c r="H7" s="152" t="s">
        <v>742</v>
      </c>
      <c r="I7" s="154"/>
    </row>
    <row r="8" spans="1:9" ht="14.25">
      <c r="A8" s="70">
        <v>6</v>
      </c>
      <c r="B8" s="74" t="s">
        <v>19</v>
      </c>
      <c r="C8" s="152" t="s">
        <v>715</v>
      </c>
      <c r="D8" s="152" t="s">
        <v>487</v>
      </c>
      <c r="E8" s="152" t="s">
        <v>323</v>
      </c>
      <c r="F8" s="50">
        <f>80</f>
        <v>80</v>
      </c>
      <c r="G8" s="152" t="s">
        <v>877</v>
      </c>
      <c r="H8" s="152" t="s">
        <v>742</v>
      </c>
      <c r="I8" s="154"/>
    </row>
    <row r="9" spans="1:9" ht="14.25">
      <c r="A9" s="70">
        <v>7</v>
      </c>
      <c r="B9" s="74" t="s">
        <v>19</v>
      </c>
      <c r="C9" s="152" t="s">
        <v>715</v>
      </c>
      <c r="D9" s="152" t="s">
        <v>804</v>
      </c>
      <c r="E9" s="152" t="s">
        <v>803</v>
      </c>
      <c r="F9" s="50">
        <f>80</f>
        <v>80</v>
      </c>
      <c r="G9" s="152" t="s">
        <v>877</v>
      </c>
      <c r="H9" s="152" t="s">
        <v>742</v>
      </c>
      <c r="I9" s="154"/>
    </row>
    <row r="10" spans="1:9" ht="14.25">
      <c r="A10" s="70">
        <v>8</v>
      </c>
      <c r="B10" s="74" t="s">
        <v>19</v>
      </c>
      <c r="C10" s="152" t="s">
        <v>921</v>
      </c>
      <c r="D10" s="152" t="s">
        <v>805</v>
      </c>
      <c r="E10" s="152" t="s">
        <v>803</v>
      </c>
      <c r="F10" s="50">
        <f>80</f>
        <v>80</v>
      </c>
      <c r="G10" s="152" t="s">
        <v>877</v>
      </c>
      <c r="H10" s="152" t="s">
        <v>742</v>
      </c>
      <c r="I10" s="154"/>
    </row>
    <row r="11" spans="1:9" ht="14.25">
      <c r="A11" s="70">
        <v>9</v>
      </c>
      <c r="B11" s="74" t="s">
        <v>19</v>
      </c>
      <c r="C11" s="152" t="s">
        <v>715</v>
      </c>
      <c r="D11" s="152" t="s">
        <v>828</v>
      </c>
      <c r="E11" s="152" t="s">
        <v>827</v>
      </c>
      <c r="F11" s="50">
        <f>80</f>
        <v>80</v>
      </c>
      <c r="G11" s="152" t="s">
        <v>877</v>
      </c>
      <c r="H11" s="152" t="s">
        <v>742</v>
      </c>
      <c r="I11" s="154"/>
    </row>
    <row r="12" spans="1:9" ht="14.25">
      <c r="A12" s="70">
        <v>10</v>
      </c>
      <c r="B12" s="74" t="s">
        <v>19</v>
      </c>
      <c r="C12" s="152" t="s">
        <v>715</v>
      </c>
      <c r="D12" s="152" t="s">
        <v>833</v>
      </c>
      <c r="E12" s="152" t="s">
        <v>444</v>
      </c>
      <c r="F12" s="50">
        <f>80</f>
        <v>80</v>
      </c>
      <c r="G12" s="152" t="s">
        <v>877</v>
      </c>
      <c r="H12" s="152" t="s">
        <v>742</v>
      </c>
      <c r="I12" s="154"/>
    </row>
    <row r="13" spans="1:9" ht="14.25">
      <c r="A13" s="70">
        <v>11</v>
      </c>
      <c r="B13" s="74" t="s">
        <v>19</v>
      </c>
      <c r="C13" s="152" t="s">
        <v>715</v>
      </c>
      <c r="D13" s="152" t="s">
        <v>834</v>
      </c>
      <c r="E13" s="152" t="s">
        <v>444</v>
      </c>
      <c r="F13" s="50">
        <f>80</f>
        <v>80</v>
      </c>
      <c r="G13" s="152" t="s">
        <v>877</v>
      </c>
      <c r="H13" s="152" t="s">
        <v>742</v>
      </c>
      <c r="I13" s="154"/>
    </row>
    <row r="14" spans="1:9" ht="14.25">
      <c r="A14" s="70">
        <v>12</v>
      </c>
      <c r="B14" s="74" t="s">
        <v>19</v>
      </c>
      <c r="C14" s="152" t="s">
        <v>715</v>
      </c>
      <c r="D14" s="152" t="s">
        <v>840</v>
      </c>
      <c r="E14" s="152" t="s">
        <v>838</v>
      </c>
      <c r="F14" s="50">
        <f>80</f>
        <v>80</v>
      </c>
      <c r="G14" s="152" t="s">
        <v>877</v>
      </c>
      <c r="H14" s="152" t="s">
        <v>742</v>
      </c>
      <c r="I14" s="154"/>
    </row>
    <row r="15" spans="1:9" ht="14.25">
      <c r="A15" s="70">
        <v>13</v>
      </c>
      <c r="B15" s="74" t="s">
        <v>19</v>
      </c>
      <c r="C15" s="152" t="s">
        <v>921</v>
      </c>
      <c r="D15" s="152" t="s">
        <v>837</v>
      </c>
      <c r="E15" s="152" t="s">
        <v>838</v>
      </c>
      <c r="F15" s="50">
        <f>80</f>
        <v>80</v>
      </c>
      <c r="G15" s="152" t="s">
        <v>877</v>
      </c>
      <c r="H15" s="152" t="s">
        <v>742</v>
      </c>
      <c r="I15" s="154"/>
    </row>
    <row r="16" spans="1:9" ht="14.25">
      <c r="A16" s="70">
        <v>14</v>
      </c>
      <c r="B16" s="74" t="s">
        <v>19</v>
      </c>
      <c r="C16" s="152" t="s">
        <v>715</v>
      </c>
      <c r="D16" s="152" t="s">
        <v>850</v>
      </c>
      <c r="E16" s="152" t="s">
        <v>314</v>
      </c>
      <c r="F16" s="50">
        <f>80</f>
        <v>80</v>
      </c>
      <c r="G16" s="152" t="s">
        <v>877</v>
      </c>
      <c r="H16" s="152" t="s">
        <v>742</v>
      </c>
      <c r="I16" s="154"/>
    </row>
    <row r="17" spans="1:9" ht="14.25">
      <c r="A17" s="70">
        <v>15</v>
      </c>
      <c r="B17" s="74" t="s">
        <v>19</v>
      </c>
      <c r="C17" s="152" t="s">
        <v>715</v>
      </c>
      <c r="D17" s="152" t="s">
        <v>845</v>
      </c>
      <c r="E17" s="152" t="s">
        <v>437</v>
      </c>
      <c r="F17" s="50">
        <f>80</f>
        <v>80</v>
      </c>
      <c r="G17" s="152" t="s">
        <v>877</v>
      </c>
      <c r="H17" s="152" t="s">
        <v>742</v>
      </c>
      <c r="I17" s="154"/>
    </row>
    <row r="18" spans="1:9" ht="14.25">
      <c r="A18" s="70">
        <v>16</v>
      </c>
      <c r="B18" s="74" t="s">
        <v>19</v>
      </c>
      <c r="C18" s="152" t="s">
        <v>745</v>
      </c>
      <c r="D18" s="152" t="s">
        <v>901</v>
      </c>
      <c r="E18" s="152" t="s">
        <v>902</v>
      </c>
      <c r="F18" s="50">
        <v>80</v>
      </c>
      <c r="G18" s="152" t="s">
        <v>903</v>
      </c>
      <c r="H18" s="152" t="s">
        <v>953</v>
      </c>
      <c r="I18" s="154" t="s">
        <v>960</v>
      </c>
    </row>
    <row r="19" spans="1:9" ht="14.25">
      <c r="A19" s="70">
        <v>17</v>
      </c>
      <c r="B19" s="74" t="s">
        <v>19</v>
      </c>
      <c r="C19" s="152" t="s">
        <v>715</v>
      </c>
      <c r="D19" s="152" t="s">
        <v>886</v>
      </c>
      <c r="E19" s="152" t="s">
        <v>887</v>
      </c>
      <c r="F19" s="50">
        <f>80</f>
        <v>80</v>
      </c>
      <c r="G19" s="152" t="s">
        <v>876</v>
      </c>
      <c r="H19" s="152" t="s">
        <v>953</v>
      </c>
      <c r="I19" s="154" t="s">
        <v>907</v>
      </c>
    </row>
    <row r="20" spans="1:9" ht="14.25">
      <c r="A20" s="70">
        <v>18</v>
      </c>
      <c r="B20" s="74" t="s">
        <v>19</v>
      </c>
      <c r="C20" s="152" t="s">
        <v>715</v>
      </c>
      <c r="D20" s="152" t="s">
        <v>367</v>
      </c>
      <c r="E20" s="152" t="s">
        <v>969</v>
      </c>
      <c r="F20" s="50">
        <f>80</f>
        <v>80</v>
      </c>
      <c r="G20" s="152" t="s">
        <v>876</v>
      </c>
      <c r="H20" s="152" t="s">
        <v>953</v>
      </c>
      <c r="I20" s="154" t="s">
        <v>996</v>
      </c>
    </row>
    <row r="21" spans="1:9" ht="14.25">
      <c r="A21" s="70">
        <v>19</v>
      </c>
      <c r="B21" s="74" t="s">
        <v>19</v>
      </c>
      <c r="C21" s="152" t="s">
        <v>715</v>
      </c>
      <c r="D21" s="152" t="s">
        <v>208</v>
      </c>
      <c r="E21" s="152" t="s">
        <v>639</v>
      </c>
      <c r="F21" s="50">
        <f>80</f>
        <v>80</v>
      </c>
      <c r="G21" s="152" t="s">
        <v>876</v>
      </c>
      <c r="H21" s="152" t="s">
        <v>953</v>
      </c>
      <c r="I21" s="154" t="s">
        <v>997</v>
      </c>
    </row>
    <row r="22" spans="1:9" ht="14.25">
      <c r="A22" s="70">
        <v>20</v>
      </c>
      <c r="B22" s="74" t="s">
        <v>19</v>
      </c>
      <c r="C22" s="152" t="s">
        <v>918</v>
      </c>
      <c r="D22" s="152" t="s">
        <v>777</v>
      </c>
      <c r="E22" s="152" t="s">
        <v>778</v>
      </c>
      <c r="F22" s="50">
        <f>80</f>
        <v>80</v>
      </c>
      <c r="G22" s="152" t="s">
        <v>877</v>
      </c>
      <c r="H22" s="152" t="s">
        <v>742</v>
      </c>
      <c r="I22" s="168"/>
    </row>
    <row r="23" spans="1:9" ht="14.25">
      <c r="A23" s="70">
        <v>21</v>
      </c>
      <c r="B23" s="74" t="s">
        <v>19</v>
      </c>
      <c r="C23" s="152" t="s">
        <v>917</v>
      </c>
      <c r="D23" s="152" t="s">
        <v>779</v>
      </c>
      <c r="E23" s="152" t="s">
        <v>778</v>
      </c>
      <c r="F23" s="50">
        <f>80</f>
        <v>80</v>
      </c>
      <c r="G23" s="152" t="s">
        <v>877</v>
      </c>
      <c r="H23" s="152" t="s">
        <v>742</v>
      </c>
      <c r="I23" s="168"/>
    </row>
    <row r="24" spans="1:9" ht="14.25">
      <c r="A24" s="70">
        <v>22</v>
      </c>
      <c r="B24" s="74" t="s">
        <v>19</v>
      </c>
      <c r="C24" s="152" t="s">
        <v>917</v>
      </c>
      <c r="D24" s="152" t="s">
        <v>851</v>
      </c>
      <c r="E24" s="152" t="s">
        <v>314</v>
      </c>
      <c r="F24" s="50">
        <f>80</f>
        <v>80</v>
      </c>
      <c r="G24" s="152" t="s">
        <v>877</v>
      </c>
      <c r="H24" s="152" t="s">
        <v>742</v>
      </c>
      <c r="I24" s="167"/>
    </row>
    <row r="25" spans="1:9" ht="14.25">
      <c r="A25" s="70">
        <v>23</v>
      </c>
      <c r="B25" s="74" t="s">
        <v>19</v>
      </c>
      <c r="C25" s="152" t="s">
        <v>917</v>
      </c>
      <c r="D25" s="152" t="s">
        <v>852</v>
      </c>
      <c r="E25" s="152" t="s">
        <v>314</v>
      </c>
      <c r="F25" s="50">
        <f>80</f>
        <v>80</v>
      </c>
      <c r="G25" s="152" t="s">
        <v>877</v>
      </c>
      <c r="H25" s="152" t="s">
        <v>742</v>
      </c>
      <c r="I25" s="167"/>
    </row>
    <row r="26" spans="1:9" ht="14.25">
      <c r="A26" s="70">
        <v>24</v>
      </c>
      <c r="B26" s="74" t="s">
        <v>19</v>
      </c>
      <c r="C26" s="152" t="s">
        <v>917</v>
      </c>
      <c r="D26" s="152" t="s">
        <v>853</v>
      </c>
      <c r="E26" s="152" t="s">
        <v>314</v>
      </c>
      <c r="F26" s="50">
        <f>80</f>
        <v>80</v>
      </c>
      <c r="G26" s="152" t="s">
        <v>877</v>
      </c>
      <c r="H26" s="152" t="s">
        <v>742</v>
      </c>
      <c r="I26" s="167"/>
    </row>
    <row r="27" spans="1:9" ht="14.25">
      <c r="A27" s="70">
        <v>25</v>
      </c>
      <c r="B27" s="74" t="s">
        <v>19</v>
      </c>
      <c r="C27" s="152" t="s">
        <v>917</v>
      </c>
      <c r="D27" s="152" t="s">
        <v>854</v>
      </c>
      <c r="E27" s="152" t="s">
        <v>314</v>
      </c>
      <c r="F27" s="50">
        <f>80</f>
        <v>80</v>
      </c>
      <c r="G27" s="152" t="s">
        <v>877</v>
      </c>
      <c r="H27" s="152" t="s">
        <v>742</v>
      </c>
      <c r="I27" s="167"/>
    </row>
    <row r="28" spans="1:9" ht="14.25">
      <c r="A28" s="70">
        <v>26</v>
      </c>
      <c r="B28" s="74" t="s">
        <v>19</v>
      </c>
      <c r="C28" s="152" t="s">
        <v>917</v>
      </c>
      <c r="D28" s="152" t="s">
        <v>855</v>
      </c>
      <c r="E28" s="152" t="s">
        <v>314</v>
      </c>
      <c r="F28" s="50">
        <f>80</f>
        <v>80</v>
      </c>
      <c r="G28" s="152" t="s">
        <v>877</v>
      </c>
      <c r="H28" s="152" t="s">
        <v>742</v>
      </c>
      <c r="I28" s="167"/>
    </row>
    <row r="29" spans="1:9" ht="14.25">
      <c r="A29" s="70">
        <v>27</v>
      </c>
      <c r="B29" s="74" t="s">
        <v>19</v>
      </c>
      <c r="C29" s="152" t="s">
        <v>918</v>
      </c>
      <c r="D29" s="152" t="s">
        <v>858</v>
      </c>
      <c r="E29" s="152" t="s">
        <v>859</v>
      </c>
      <c r="F29" s="50">
        <f>80</f>
        <v>80</v>
      </c>
      <c r="G29" s="152" t="s">
        <v>877</v>
      </c>
      <c r="H29" s="152" t="s">
        <v>742</v>
      </c>
      <c r="I29" s="167"/>
    </row>
    <row r="30" spans="1:9" ht="14.25">
      <c r="A30" s="70">
        <v>28</v>
      </c>
      <c r="B30" s="74" t="s">
        <v>19</v>
      </c>
      <c r="C30" s="152" t="s">
        <v>918</v>
      </c>
      <c r="D30" s="152" t="s">
        <v>926</v>
      </c>
      <c r="E30" s="152" t="s">
        <v>656</v>
      </c>
      <c r="F30" s="50">
        <f>80</f>
        <v>80</v>
      </c>
      <c r="G30" s="152" t="s">
        <v>933</v>
      </c>
      <c r="H30" s="152" t="s">
        <v>952</v>
      </c>
      <c r="I30" s="154" t="s">
        <v>988</v>
      </c>
    </row>
    <row r="31" spans="1:9" ht="14.25">
      <c r="A31" s="70">
        <v>29</v>
      </c>
      <c r="B31" s="74" t="s">
        <v>19</v>
      </c>
      <c r="C31" s="152" t="s">
        <v>918</v>
      </c>
      <c r="D31" s="152" t="s">
        <v>927</v>
      </c>
      <c r="E31" s="152" t="s">
        <v>640</v>
      </c>
      <c r="F31" s="50">
        <f>80</f>
        <v>80</v>
      </c>
      <c r="G31" s="152" t="s">
        <v>933</v>
      </c>
      <c r="H31" s="152" t="s">
        <v>952</v>
      </c>
      <c r="I31" s="154" t="s">
        <v>989</v>
      </c>
    </row>
    <row r="32" spans="1:9" ht="14.25">
      <c r="A32" s="70">
        <v>30</v>
      </c>
      <c r="B32" s="74" t="s">
        <v>19</v>
      </c>
      <c r="C32" s="152" t="s">
        <v>918</v>
      </c>
      <c r="D32" s="152" t="s">
        <v>928</v>
      </c>
      <c r="E32" s="152" t="s">
        <v>641</v>
      </c>
      <c r="F32" s="50">
        <f>80</f>
        <v>80</v>
      </c>
      <c r="G32" s="152" t="s">
        <v>933</v>
      </c>
      <c r="H32" s="152" t="s">
        <v>952</v>
      </c>
      <c r="I32" s="154" t="s">
        <v>990</v>
      </c>
    </row>
    <row r="33" spans="1:9" ht="14.25">
      <c r="A33" s="70">
        <v>31</v>
      </c>
      <c r="B33" s="74" t="s">
        <v>19</v>
      </c>
      <c r="C33" s="152" t="s">
        <v>918</v>
      </c>
      <c r="D33" s="152" t="s">
        <v>929</v>
      </c>
      <c r="E33" s="152" t="s">
        <v>641</v>
      </c>
      <c r="F33" s="50">
        <f>80</f>
        <v>80</v>
      </c>
      <c r="G33" s="152" t="s">
        <v>933</v>
      </c>
      <c r="H33" s="152" t="s">
        <v>952</v>
      </c>
      <c r="I33" s="154" t="s">
        <v>991</v>
      </c>
    </row>
    <row r="34" spans="1:9" ht="14.25">
      <c r="A34" s="70">
        <v>32</v>
      </c>
      <c r="B34" s="74" t="s">
        <v>19</v>
      </c>
      <c r="C34" s="152" t="s">
        <v>918</v>
      </c>
      <c r="D34" s="152" t="s">
        <v>930</v>
      </c>
      <c r="E34" s="152" t="s">
        <v>644</v>
      </c>
      <c r="F34" s="50">
        <f>80</f>
        <v>80</v>
      </c>
      <c r="G34" s="152" t="s">
        <v>933</v>
      </c>
      <c r="H34" s="152" t="s">
        <v>952</v>
      </c>
      <c r="I34" s="154" t="s">
        <v>992</v>
      </c>
    </row>
    <row r="35" spans="1:9" ht="14.25">
      <c r="A35" s="70">
        <v>33</v>
      </c>
      <c r="B35" s="74" t="s">
        <v>19</v>
      </c>
      <c r="C35" s="152" t="s">
        <v>918</v>
      </c>
      <c r="D35" s="152" t="s">
        <v>931</v>
      </c>
      <c r="E35" s="152" t="s">
        <v>641</v>
      </c>
      <c r="F35" s="50">
        <f>80</f>
        <v>80</v>
      </c>
      <c r="G35" s="152" t="s">
        <v>933</v>
      </c>
      <c r="H35" s="152" t="s">
        <v>952</v>
      </c>
      <c r="I35" s="154" t="s">
        <v>993</v>
      </c>
    </row>
    <row r="36" spans="1:9" ht="14.25">
      <c r="A36" s="70">
        <v>34</v>
      </c>
      <c r="B36" s="74" t="s">
        <v>19</v>
      </c>
      <c r="C36" s="152" t="s">
        <v>918</v>
      </c>
      <c r="D36" s="152" t="s">
        <v>932</v>
      </c>
      <c r="E36" s="152" t="s">
        <v>640</v>
      </c>
      <c r="F36" s="50">
        <f>80</f>
        <v>80</v>
      </c>
      <c r="G36" s="152" t="s">
        <v>933</v>
      </c>
      <c r="H36" s="152" t="s">
        <v>952</v>
      </c>
      <c r="I36" s="154" t="s">
        <v>994</v>
      </c>
    </row>
    <row r="37" spans="1:9" ht="14.25">
      <c r="A37" s="70">
        <v>35</v>
      </c>
      <c r="B37" s="74" t="s">
        <v>19</v>
      </c>
      <c r="C37" s="152" t="s">
        <v>918</v>
      </c>
      <c r="D37" s="152" t="s">
        <v>643</v>
      </c>
      <c r="E37" s="152" t="s">
        <v>976</v>
      </c>
      <c r="F37" s="50">
        <f>80</f>
        <v>80</v>
      </c>
      <c r="G37" s="152" t="s">
        <v>933</v>
      </c>
      <c r="H37" s="152" t="s">
        <v>952</v>
      </c>
      <c r="I37" s="154" t="s">
        <v>995</v>
      </c>
    </row>
    <row r="38" spans="1:9" ht="14.25">
      <c r="A38" s="70">
        <v>36</v>
      </c>
      <c r="B38" s="74" t="s">
        <v>19</v>
      </c>
      <c r="C38" s="152" t="s">
        <v>917</v>
      </c>
      <c r="D38" s="136" t="s">
        <v>277</v>
      </c>
      <c r="E38" s="152" t="s">
        <v>954</v>
      </c>
      <c r="F38" s="50">
        <f>80</f>
        <v>80</v>
      </c>
      <c r="G38" s="152" t="s">
        <v>955</v>
      </c>
      <c r="H38" s="152" t="s">
        <v>956</v>
      </c>
      <c r="I38" s="154"/>
    </row>
    <row r="39" spans="1:9" ht="14.25">
      <c r="A39" s="70">
        <v>37</v>
      </c>
      <c r="B39" s="74" t="s">
        <v>19</v>
      </c>
      <c r="C39" s="152" t="s">
        <v>766</v>
      </c>
      <c r="D39" s="152" t="s">
        <v>754</v>
      </c>
      <c r="E39" s="152" t="s">
        <v>763</v>
      </c>
      <c r="F39" s="50">
        <f>80+80</f>
        <v>160</v>
      </c>
      <c r="G39" s="152" t="s">
        <v>757</v>
      </c>
      <c r="H39" s="152" t="s">
        <v>742</v>
      </c>
      <c r="I39" s="168"/>
    </row>
    <row r="40" spans="1:9" ht="14.25">
      <c r="A40" s="70">
        <v>38</v>
      </c>
      <c r="B40" s="74" t="s">
        <v>19</v>
      </c>
      <c r="C40" s="152" t="s">
        <v>716</v>
      </c>
      <c r="D40" s="152" t="s">
        <v>889</v>
      </c>
      <c r="E40" s="152" t="s">
        <v>887</v>
      </c>
      <c r="F40" s="50">
        <f>80</f>
        <v>80</v>
      </c>
      <c r="G40" s="152" t="s">
        <v>876</v>
      </c>
      <c r="H40" s="152" t="s">
        <v>898</v>
      </c>
      <c r="I40" s="154" t="s">
        <v>910</v>
      </c>
    </row>
    <row r="41" spans="1:9" ht="14.25">
      <c r="A41" s="70">
        <v>39</v>
      </c>
      <c r="B41" s="74" t="s">
        <v>19</v>
      </c>
      <c r="C41" s="152" t="s">
        <v>924</v>
      </c>
      <c r="D41" s="152" t="s">
        <v>541</v>
      </c>
      <c r="E41" s="152" t="s">
        <v>798</v>
      </c>
      <c r="F41" s="50">
        <f>80</f>
        <v>80</v>
      </c>
      <c r="G41" s="152" t="s">
        <v>877</v>
      </c>
      <c r="H41" s="152" t="s">
        <v>742</v>
      </c>
      <c r="I41" s="167"/>
    </row>
    <row r="42" spans="1:9" ht="14.25">
      <c r="A42" s="70">
        <v>40</v>
      </c>
      <c r="B42" s="74" t="s">
        <v>19</v>
      </c>
      <c r="C42" s="152" t="s">
        <v>925</v>
      </c>
      <c r="D42" s="152" t="s">
        <v>516</v>
      </c>
      <c r="E42" s="152" t="s">
        <v>801</v>
      </c>
      <c r="F42" s="50">
        <f>80</f>
        <v>80</v>
      </c>
      <c r="G42" s="152" t="s">
        <v>877</v>
      </c>
      <c r="H42" s="152" t="s">
        <v>742</v>
      </c>
      <c r="I42" s="167"/>
    </row>
    <row r="43" spans="1:9" ht="14.25">
      <c r="A43" s="70">
        <v>41</v>
      </c>
      <c r="B43" s="74" t="s">
        <v>19</v>
      </c>
      <c r="C43" s="152" t="s">
        <v>924</v>
      </c>
      <c r="D43" s="152" t="s">
        <v>802</v>
      </c>
      <c r="E43" s="152" t="s">
        <v>803</v>
      </c>
      <c r="F43" s="50">
        <f>80</f>
        <v>80</v>
      </c>
      <c r="G43" s="152" t="s">
        <v>877</v>
      </c>
      <c r="H43" s="152" t="s">
        <v>742</v>
      </c>
      <c r="I43" s="167"/>
    </row>
    <row r="44" spans="1:9" ht="14.25">
      <c r="A44" s="70">
        <v>42</v>
      </c>
      <c r="B44" s="74" t="s">
        <v>19</v>
      </c>
      <c r="C44" s="152" t="s">
        <v>716</v>
      </c>
      <c r="D44" s="152" t="s">
        <v>806</v>
      </c>
      <c r="E44" s="152" t="s">
        <v>807</v>
      </c>
      <c r="F44" s="50">
        <f>80</f>
        <v>80</v>
      </c>
      <c r="G44" s="152" t="s">
        <v>877</v>
      </c>
      <c r="H44" s="152" t="s">
        <v>742</v>
      </c>
      <c r="I44" s="167"/>
    </row>
    <row r="45" spans="1:9" ht="14.25">
      <c r="A45" s="70">
        <v>43</v>
      </c>
      <c r="B45" s="74" t="s">
        <v>19</v>
      </c>
      <c r="C45" s="152" t="s">
        <v>924</v>
      </c>
      <c r="D45" s="152" t="s">
        <v>808</v>
      </c>
      <c r="E45" s="152" t="s">
        <v>807</v>
      </c>
      <c r="F45" s="50">
        <f>80</f>
        <v>80</v>
      </c>
      <c r="G45" s="152" t="s">
        <v>877</v>
      </c>
      <c r="H45" s="152" t="s">
        <v>742</v>
      </c>
      <c r="I45" s="167"/>
    </row>
    <row r="46" spans="1:9" ht="14.25">
      <c r="A46" s="70">
        <v>44</v>
      </c>
      <c r="B46" s="74" t="s">
        <v>19</v>
      </c>
      <c r="C46" s="152" t="s">
        <v>924</v>
      </c>
      <c r="D46" s="152" t="s">
        <v>809</v>
      </c>
      <c r="E46" s="152" t="s">
        <v>810</v>
      </c>
      <c r="F46" s="50">
        <f>80</f>
        <v>80</v>
      </c>
      <c r="G46" s="152" t="s">
        <v>877</v>
      </c>
      <c r="H46" s="152" t="s">
        <v>742</v>
      </c>
      <c r="I46" s="167"/>
    </row>
    <row r="47" spans="1:9" ht="14.25">
      <c r="A47" s="70">
        <v>45</v>
      </c>
      <c r="B47" s="74" t="s">
        <v>19</v>
      </c>
      <c r="C47" s="152" t="s">
        <v>924</v>
      </c>
      <c r="D47" s="152" t="s">
        <v>811</v>
      </c>
      <c r="E47" s="152" t="s">
        <v>810</v>
      </c>
      <c r="F47" s="50">
        <f>80</f>
        <v>80</v>
      </c>
      <c r="G47" s="152" t="s">
        <v>877</v>
      </c>
      <c r="H47" s="152" t="s">
        <v>742</v>
      </c>
      <c r="I47" s="167"/>
    </row>
    <row r="48" spans="1:9" ht="14.25">
      <c r="A48" s="70">
        <v>46</v>
      </c>
      <c r="B48" s="74" t="s">
        <v>19</v>
      </c>
      <c r="C48" s="152" t="s">
        <v>924</v>
      </c>
      <c r="D48" s="152" t="s">
        <v>812</v>
      </c>
      <c r="E48" s="152" t="s">
        <v>813</v>
      </c>
      <c r="F48" s="50">
        <f>80</f>
        <v>80</v>
      </c>
      <c r="G48" s="152" t="s">
        <v>877</v>
      </c>
      <c r="H48" s="152" t="s">
        <v>742</v>
      </c>
      <c r="I48" s="167"/>
    </row>
    <row r="49" spans="1:9" ht="14.25">
      <c r="A49" s="70">
        <v>47</v>
      </c>
      <c r="B49" s="74" t="s">
        <v>19</v>
      </c>
      <c r="C49" s="152" t="s">
        <v>924</v>
      </c>
      <c r="D49" s="152" t="s">
        <v>797</v>
      </c>
      <c r="E49" s="152" t="s">
        <v>798</v>
      </c>
      <c r="F49" s="50">
        <f>80</f>
        <v>80</v>
      </c>
      <c r="G49" s="152" t="s">
        <v>877</v>
      </c>
      <c r="H49" s="152" t="s">
        <v>742</v>
      </c>
      <c r="I49" s="167"/>
    </row>
    <row r="50" spans="1:9" ht="14.25">
      <c r="A50" s="70">
        <v>48</v>
      </c>
      <c r="B50" s="74" t="s">
        <v>19</v>
      </c>
      <c r="C50" s="152" t="s">
        <v>924</v>
      </c>
      <c r="D50" s="152" t="s">
        <v>815</v>
      </c>
      <c r="E50" s="152" t="s">
        <v>426</v>
      </c>
      <c r="F50" s="50">
        <f>80</f>
        <v>80</v>
      </c>
      <c r="G50" s="152" t="s">
        <v>877</v>
      </c>
      <c r="H50" s="152" t="s">
        <v>742</v>
      </c>
      <c r="I50" s="167"/>
    </row>
    <row r="51" spans="1:9" ht="14.25">
      <c r="A51" s="70">
        <v>49</v>
      </c>
      <c r="B51" s="74" t="s">
        <v>19</v>
      </c>
      <c r="C51" s="152" t="s">
        <v>924</v>
      </c>
      <c r="D51" s="152" t="s">
        <v>832</v>
      </c>
      <c r="E51" s="152" t="s">
        <v>444</v>
      </c>
      <c r="F51" s="50">
        <f>80</f>
        <v>80</v>
      </c>
      <c r="G51" s="152" t="s">
        <v>877</v>
      </c>
      <c r="H51" s="152" t="s">
        <v>742</v>
      </c>
      <c r="I51" s="167"/>
    </row>
    <row r="52" spans="1:9" ht="14.25">
      <c r="A52" s="70">
        <v>50</v>
      </c>
      <c r="B52" s="74" t="s">
        <v>19</v>
      </c>
      <c r="C52" s="152" t="s">
        <v>716</v>
      </c>
      <c r="D52" s="152" t="s">
        <v>562</v>
      </c>
      <c r="E52" s="152" t="s">
        <v>444</v>
      </c>
      <c r="F52" s="50">
        <f>80</f>
        <v>80</v>
      </c>
      <c r="G52" s="152" t="s">
        <v>877</v>
      </c>
      <c r="H52" s="152" t="s">
        <v>742</v>
      </c>
      <c r="I52" s="167"/>
    </row>
    <row r="53" spans="1:9" ht="14.25">
      <c r="A53" s="70">
        <v>51</v>
      </c>
      <c r="B53" s="74" t="s">
        <v>19</v>
      </c>
      <c r="C53" s="152" t="s">
        <v>924</v>
      </c>
      <c r="D53" s="152" t="s">
        <v>500</v>
      </c>
      <c r="E53" s="152" t="s">
        <v>437</v>
      </c>
      <c r="F53" s="50">
        <f>80</f>
        <v>80</v>
      </c>
      <c r="G53" s="152" t="s">
        <v>877</v>
      </c>
      <c r="H53" s="152" t="s">
        <v>742</v>
      </c>
      <c r="I53" s="167"/>
    </row>
    <row r="54" spans="1:9" ht="14.25">
      <c r="A54" s="70">
        <v>52</v>
      </c>
      <c r="B54" s="74" t="s">
        <v>19</v>
      </c>
      <c r="C54" s="152" t="s">
        <v>924</v>
      </c>
      <c r="D54" s="152" t="s">
        <v>844</v>
      </c>
      <c r="E54" s="152" t="s">
        <v>437</v>
      </c>
      <c r="F54" s="50">
        <f>80</f>
        <v>80</v>
      </c>
      <c r="G54" s="152" t="s">
        <v>877</v>
      </c>
      <c r="H54" s="152" t="s">
        <v>742</v>
      </c>
      <c r="I54" s="167"/>
    </row>
    <row r="55" spans="1:9" ht="14.25">
      <c r="A55" s="70">
        <v>53</v>
      </c>
      <c r="B55" s="74" t="s">
        <v>19</v>
      </c>
      <c r="C55" s="152" t="s">
        <v>714</v>
      </c>
      <c r="D55" s="152" t="s">
        <v>774</v>
      </c>
      <c r="E55" s="152" t="s">
        <v>964</v>
      </c>
      <c r="F55" s="50">
        <f>80+80</f>
        <v>160</v>
      </c>
      <c r="G55" s="152" t="s">
        <v>875</v>
      </c>
      <c r="H55" s="152" t="s">
        <v>742</v>
      </c>
      <c r="I55" s="168"/>
    </row>
    <row r="56" spans="1:9" ht="14.25">
      <c r="A56" s="70">
        <v>54</v>
      </c>
      <c r="B56" s="74" t="s">
        <v>19</v>
      </c>
      <c r="C56" s="152" t="s">
        <v>714</v>
      </c>
      <c r="D56" s="152" t="s">
        <v>788</v>
      </c>
      <c r="E56" s="152" t="s">
        <v>789</v>
      </c>
      <c r="F56" s="50">
        <f>80</f>
        <v>80</v>
      </c>
      <c r="G56" s="152" t="s">
        <v>877</v>
      </c>
      <c r="H56" s="152" t="s">
        <v>742</v>
      </c>
      <c r="I56" s="167"/>
    </row>
    <row r="57" spans="1:9" ht="14.25">
      <c r="A57" s="70">
        <v>55</v>
      </c>
      <c r="B57" s="74" t="s">
        <v>19</v>
      </c>
      <c r="C57" s="152" t="s">
        <v>714</v>
      </c>
      <c r="D57" s="152" t="s">
        <v>831</v>
      </c>
      <c r="E57" s="152" t="s">
        <v>444</v>
      </c>
      <c r="F57" s="50">
        <f>80</f>
        <v>80</v>
      </c>
      <c r="G57" s="152" t="s">
        <v>877</v>
      </c>
      <c r="H57" s="152" t="s">
        <v>742</v>
      </c>
      <c r="I57" s="167"/>
    </row>
    <row r="58" spans="1:9" ht="14.25">
      <c r="A58" s="70">
        <v>56</v>
      </c>
      <c r="B58" s="74" t="s">
        <v>19</v>
      </c>
      <c r="C58" s="152" t="s">
        <v>714</v>
      </c>
      <c r="D58" s="152" t="s">
        <v>469</v>
      </c>
      <c r="E58" s="152" t="s">
        <v>827</v>
      </c>
      <c r="F58" s="50">
        <f>80</f>
        <v>80</v>
      </c>
      <c r="G58" s="152" t="s">
        <v>877</v>
      </c>
      <c r="H58" s="152" t="s">
        <v>742</v>
      </c>
      <c r="I58" s="167"/>
    </row>
    <row r="59" spans="1:9" ht="14.25">
      <c r="A59" s="70">
        <v>57</v>
      </c>
      <c r="B59" s="74" t="s">
        <v>19</v>
      </c>
      <c r="C59" s="152" t="s">
        <v>714</v>
      </c>
      <c r="D59" s="152" t="s">
        <v>822</v>
      </c>
      <c r="E59" s="152" t="s">
        <v>823</v>
      </c>
      <c r="F59" s="50">
        <f>80</f>
        <v>80</v>
      </c>
      <c r="G59" s="152" t="s">
        <v>877</v>
      </c>
      <c r="H59" s="152" t="s">
        <v>742</v>
      </c>
      <c r="I59" s="167"/>
    </row>
    <row r="60" spans="1:9" ht="14.25">
      <c r="A60" s="70">
        <v>58</v>
      </c>
      <c r="B60" s="74" t="s">
        <v>19</v>
      </c>
      <c r="C60" s="152" t="s">
        <v>714</v>
      </c>
      <c r="D60" s="152" t="s">
        <v>824</v>
      </c>
      <c r="E60" s="152" t="s">
        <v>825</v>
      </c>
      <c r="F60" s="50">
        <f>80</f>
        <v>80</v>
      </c>
      <c r="G60" s="152" t="s">
        <v>877</v>
      </c>
      <c r="H60" s="152" t="s">
        <v>742</v>
      </c>
      <c r="I60" s="167"/>
    </row>
    <row r="61" spans="1:9" ht="14.25">
      <c r="A61" s="70">
        <v>59</v>
      </c>
      <c r="B61" s="74" t="s">
        <v>19</v>
      </c>
      <c r="C61" s="152" t="s">
        <v>714</v>
      </c>
      <c r="D61" s="152" t="s">
        <v>819</v>
      </c>
      <c r="E61" s="152" t="s">
        <v>818</v>
      </c>
      <c r="F61" s="50">
        <f>80</f>
        <v>80</v>
      </c>
      <c r="G61" s="152" t="s">
        <v>877</v>
      </c>
      <c r="H61" s="152" t="s">
        <v>742</v>
      </c>
      <c r="I61" s="167"/>
    </row>
    <row r="62" spans="1:9" ht="14.25">
      <c r="A62" s="70">
        <v>60</v>
      </c>
      <c r="B62" s="74" t="s">
        <v>19</v>
      </c>
      <c r="C62" s="152" t="s">
        <v>714</v>
      </c>
      <c r="D62" s="152" t="s">
        <v>820</v>
      </c>
      <c r="E62" s="152" t="s">
        <v>818</v>
      </c>
      <c r="F62" s="50">
        <f>80</f>
        <v>80</v>
      </c>
      <c r="G62" s="152" t="s">
        <v>877</v>
      </c>
      <c r="H62" s="152" t="s">
        <v>742</v>
      </c>
      <c r="I62" s="167"/>
    </row>
    <row r="63" spans="1:9" ht="14.25">
      <c r="A63" s="70">
        <v>61</v>
      </c>
      <c r="B63" s="74" t="s">
        <v>19</v>
      </c>
      <c r="C63" s="152" t="s">
        <v>714</v>
      </c>
      <c r="D63" s="152" t="s">
        <v>814</v>
      </c>
      <c r="E63" s="152" t="s">
        <v>813</v>
      </c>
      <c r="F63" s="50">
        <f>80</f>
        <v>80</v>
      </c>
      <c r="G63" s="152" t="s">
        <v>877</v>
      </c>
      <c r="H63" s="152" t="s">
        <v>742</v>
      </c>
      <c r="I63" s="167"/>
    </row>
    <row r="64" spans="1:9" ht="14.25">
      <c r="A64" s="70">
        <v>62</v>
      </c>
      <c r="B64" s="74" t="s">
        <v>19</v>
      </c>
      <c r="C64" s="152" t="s">
        <v>925</v>
      </c>
      <c r="D64" s="152" t="s">
        <v>816</v>
      </c>
      <c r="E64" s="152" t="s">
        <v>426</v>
      </c>
      <c r="F64" s="50">
        <f>80</f>
        <v>80</v>
      </c>
      <c r="G64" s="152" t="s">
        <v>877</v>
      </c>
      <c r="H64" s="152" t="s">
        <v>742</v>
      </c>
      <c r="I64" s="167"/>
    </row>
    <row r="65" spans="1:9" ht="14.25">
      <c r="A65" s="70">
        <v>63</v>
      </c>
      <c r="B65" s="74" t="s">
        <v>19</v>
      </c>
      <c r="C65" s="152" t="s">
        <v>925</v>
      </c>
      <c r="D65" s="152" t="s">
        <v>799</v>
      </c>
      <c r="E65" s="152" t="s">
        <v>798</v>
      </c>
      <c r="F65" s="50">
        <f>80</f>
        <v>80</v>
      </c>
      <c r="G65" s="152" t="s">
        <v>877</v>
      </c>
      <c r="H65" s="152" t="s">
        <v>742</v>
      </c>
      <c r="I65" s="167"/>
    </row>
    <row r="66" spans="1:9" ht="14.25">
      <c r="A66" s="70">
        <v>64</v>
      </c>
      <c r="B66" s="74" t="s">
        <v>19</v>
      </c>
      <c r="C66" s="152" t="s">
        <v>714</v>
      </c>
      <c r="D66" s="152" t="s">
        <v>772</v>
      </c>
      <c r="E66" s="152" t="s">
        <v>962</v>
      </c>
      <c r="F66" s="50">
        <f>80+80</f>
        <v>160</v>
      </c>
      <c r="G66" s="152" t="s">
        <v>874</v>
      </c>
      <c r="H66" s="152" t="s">
        <v>742</v>
      </c>
      <c r="I66" s="168"/>
    </row>
    <row r="67" spans="1:9" ht="14.25">
      <c r="A67" s="70">
        <v>65</v>
      </c>
      <c r="B67" s="74" t="s">
        <v>19</v>
      </c>
      <c r="C67" s="152" t="s">
        <v>925</v>
      </c>
      <c r="D67" s="152" t="s">
        <v>479</v>
      </c>
      <c r="E67" s="152" t="s">
        <v>314</v>
      </c>
      <c r="F67" s="50">
        <f>80</f>
        <v>80</v>
      </c>
      <c r="G67" s="152" t="s">
        <v>877</v>
      </c>
      <c r="H67" s="152" t="s">
        <v>742</v>
      </c>
      <c r="I67" s="167"/>
    </row>
    <row r="68" spans="1:9" ht="14.25">
      <c r="A68" s="70">
        <v>66</v>
      </c>
      <c r="B68" s="74" t="s">
        <v>19</v>
      </c>
      <c r="C68" s="152" t="s">
        <v>714</v>
      </c>
      <c r="D68" s="152" t="s">
        <v>860</v>
      </c>
      <c r="E68" s="152" t="s">
        <v>861</v>
      </c>
      <c r="F68" s="50">
        <f>80</f>
        <v>80</v>
      </c>
      <c r="G68" s="152" t="s">
        <v>879</v>
      </c>
      <c r="H68" s="152" t="s">
        <v>880</v>
      </c>
      <c r="I68" s="167"/>
    </row>
    <row r="69" spans="1:9" ht="14.25">
      <c r="A69" s="70">
        <v>67</v>
      </c>
      <c r="B69" s="74" t="s">
        <v>19</v>
      </c>
      <c r="C69" s="152" t="s">
        <v>925</v>
      </c>
      <c r="D69" s="152" t="s">
        <v>483</v>
      </c>
      <c r="E69" s="152" t="s">
        <v>861</v>
      </c>
      <c r="F69" s="50">
        <f>80</f>
        <v>80</v>
      </c>
      <c r="G69" s="152" t="s">
        <v>879</v>
      </c>
      <c r="H69" s="152" t="s">
        <v>880</v>
      </c>
      <c r="I69" s="167"/>
    </row>
    <row r="70" spans="1:9" ht="14.25">
      <c r="A70" s="70">
        <v>68</v>
      </c>
      <c r="B70" s="74" t="s">
        <v>19</v>
      </c>
      <c r="C70" s="152" t="s">
        <v>714</v>
      </c>
      <c r="D70" s="152" t="s">
        <v>847</v>
      </c>
      <c r="E70" s="152" t="s">
        <v>848</v>
      </c>
      <c r="F70" s="50">
        <f>80</f>
        <v>80</v>
      </c>
      <c r="G70" s="152" t="s">
        <v>877</v>
      </c>
      <c r="H70" s="152" t="s">
        <v>742</v>
      </c>
      <c r="I70" s="167"/>
    </row>
    <row r="71" spans="1:9" ht="14.25">
      <c r="A71" s="70">
        <v>69</v>
      </c>
      <c r="B71" s="74" t="s">
        <v>19</v>
      </c>
      <c r="C71" s="152" t="s">
        <v>714</v>
      </c>
      <c r="D71" s="152" t="s">
        <v>475</v>
      </c>
      <c r="E71" s="152" t="s">
        <v>848</v>
      </c>
      <c r="F71" s="50">
        <f>80</f>
        <v>80</v>
      </c>
      <c r="G71" s="152" t="s">
        <v>877</v>
      </c>
      <c r="H71" s="152" t="s">
        <v>742</v>
      </c>
      <c r="I71" s="167"/>
    </row>
    <row r="72" spans="1:9" ht="14.25">
      <c r="A72" s="70">
        <v>70</v>
      </c>
      <c r="B72" s="74" t="s">
        <v>19</v>
      </c>
      <c r="C72" s="152" t="s">
        <v>765</v>
      </c>
      <c r="D72" s="152" t="s">
        <v>749</v>
      </c>
      <c r="E72" s="152" t="s">
        <v>758</v>
      </c>
      <c r="F72" s="50">
        <f>80+80</f>
        <v>160</v>
      </c>
      <c r="G72" s="152" t="s">
        <v>750</v>
      </c>
      <c r="H72" s="152" t="s">
        <v>742</v>
      </c>
      <c r="I72" s="168"/>
    </row>
    <row r="73" spans="1:9" ht="14.25">
      <c r="A73" s="70">
        <v>71</v>
      </c>
      <c r="B73" s="74" t="s">
        <v>19</v>
      </c>
      <c r="C73" s="152" t="s">
        <v>765</v>
      </c>
      <c r="D73" s="152" t="s">
        <v>751</v>
      </c>
      <c r="E73" s="152" t="s">
        <v>761</v>
      </c>
      <c r="F73" s="50">
        <f>80+80</f>
        <v>160</v>
      </c>
      <c r="G73" s="152" t="s">
        <v>750</v>
      </c>
      <c r="H73" s="152" t="s">
        <v>742</v>
      </c>
      <c r="I73" s="168"/>
    </row>
    <row r="74" spans="1:9" ht="14.25">
      <c r="A74" s="70">
        <v>72</v>
      </c>
      <c r="B74" s="74" t="s">
        <v>19</v>
      </c>
      <c r="C74" s="152" t="s">
        <v>765</v>
      </c>
      <c r="D74" s="152" t="s">
        <v>756</v>
      </c>
      <c r="E74" s="152" t="s">
        <v>764</v>
      </c>
      <c r="F74" s="50">
        <f>80+80</f>
        <v>160</v>
      </c>
      <c r="G74" s="152" t="s">
        <v>755</v>
      </c>
      <c r="H74" s="152" t="s">
        <v>742</v>
      </c>
      <c r="I74" s="168"/>
    </row>
    <row r="75" spans="1:9" ht="14.25">
      <c r="A75" s="70">
        <v>73</v>
      </c>
      <c r="B75" s="74" t="s">
        <v>19</v>
      </c>
      <c r="C75" s="152" t="s">
        <v>771</v>
      </c>
      <c r="D75" s="152" t="s">
        <v>767</v>
      </c>
      <c r="E75" s="152" t="s">
        <v>768</v>
      </c>
      <c r="F75" s="50">
        <v>80</v>
      </c>
      <c r="G75" s="152" t="s">
        <v>769</v>
      </c>
      <c r="H75" s="152" t="s">
        <v>742</v>
      </c>
      <c r="I75" s="167" t="s">
        <v>770</v>
      </c>
    </row>
    <row r="76" spans="1:9" ht="14.25">
      <c r="A76" s="70">
        <v>74</v>
      </c>
      <c r="B76" s="74" t="s">
        <v>19</v>
      </c>
      <c r="C76" s="152" t="s">
        <v>916</v>
      </c>
      <c r="D76" s="152" t="s">
        <v>773</v>
      </c>
      <c r="E76" s="152" t="s">
        <v>974</v>
      </c>
      <c r="F76" s="50">
        <f>80+80</f>
        <v>160</v>
      </c>
      <c r="G76" s="152" t="s">
        <v>753</v>
      </c>
      <c r="H76" s="152" t="s">
        <v>742</v>
      </c>
      <c r="I76" s="168"/>
    </row>
    <row r="77" spans="1:9" ht="14.25">
      <c r="A77" s="70">
        <v>75</v>
      </c>
      <c r="B77" s="74" t="s">
        <v>19</v>
      </c>
      <c r="C77" s="152" t="s">
        <v>919</v>
      </c>
      <c r="D77" s="152" t="s">
        <v>776</v>
      </c>
      <c r="E77" s="152" t="s">
        <v>970</v>
      </c>
      <c r="F77" s="50">
        <f>80+80</f>
        <v>160</v>
      </c>
      <c r="G77" s="152" t="s">
        <v>876</v>
      </c>
      <c r="H77" s="152" t="s">
        <v>742</v>
      </c>
      <c r="I77" s="168"/>
    </row>
    <row r="78" spans="1:9" ht="14.25">
      <c r="A78" s="70">
        <v>76</v>
      </c>
      <c r="B78" s="74" t="s">
        <v>19</v>
      </c>
      <c r="C78" s="152" t="s">
        <v>916</v>
      </c>
      <c r="D78" s="152" t="s">
        <v>780</v>
      </c>
      <c r="E78" s="152" t="s">
        <v>781</v>
      </c>
      <c r="F78" s="50">
        <f>80</f>
        <v>80</v>
      </c>
      <c r="G78" s="152" t="s">
        <v>878</v>
      </c>
      <c r="H78" s="152" t="s">
        <v>742</v>
      </c>
      <c r="I78" s="167" t="s">
        <v>904</v>
      </c>
    </row>
    <row r="79" spans="1:9" ht="14.25">
      <c r="A79" s="70">
        <v>77</v>
      </c>
      <c r="B79" s="74" t="s">
        <v>19</v>
      </c>
      <c r="C79" s="152" t="s">
        <v>919</v>
      </c>
      <c r="D79" s="152" t="s">
        <v>817</v>
      </c>
      <c r="E79" s="152" t="s">
        <v>818</v>
      </c>
      <c r="F79" s="50">
        <f>80</f>
        <v>80</v>
      </c>
      <c r="G79" s="152" t="s">
        <v>877</v>
      </c>
      <c r="H79" s="152" t="s">
        <v>742</v>
      </c>
      <c r="I79" s="167"/>
    </row>
    <row r="80" spans="1:9" ht="14.25">
      <c r="A80" s="70">
        <v>78</v>
      </c>
      <c r="B80" s="74" t="s">
        <v>19</v>
      </c>
      <c r="C80" s="152" t="s">
        <v>916</v>
      </c>
      <c r="D80" s="152" t="s">
        <v>862</v>
      </c>
      <c r="E80" s="152" t="s">
        <v>861</v>
      </c>
      <c r="F80" s="50">
        <f>80</f>
        <v>80</v>
      </c>
      <c r="G80" s="152" t="s">
        <v>879</v>
      </c>
      <c r="H80" s="152" t="s">
        <v>880</v>
      </c>
      <c r="I80" s="167"/>
    </row>
    <row r="81" spans="1:9">
      <c r="A81" s="70">
        <v>79</v>
      </c>
      <c r="B81" s="52" t="s">
        <v>95</v>
      </c>
      <c r="C81" s="152" t="s">
        <v>916</v>
      </c>
      <c r="D81" s="152" t="s">
        <v>863</v>
      </c>
      <c r="E81" s="152" t="s">
        <v>861</v>
      </c>
      <c r="F81" s="50">
        <f>80</f>
        <v>80</v>
      </c>
      <c r="G81" s="152" t="s">
        <v>879</v>
      </c>
      <c r="H81" s="152" t="s">
        <v>880</v>
      </c>
      <c r="I81" s="167"/>
    </row>
    <row r="82" spans="1:9" ht="14.25">
      <c r="A82" s="70">
        <v>80</v>
      </c>
      <c r="B82" s="74" t="s">
        <v>19</v>
      </c>
      <c r="C82" s="152" t="s">
        <v>916</v>
      </c>
      <c r="D82" s="152" t="s">
        <v>857</v>
      </c>
      <c r="E82" s="152" t="s">
        <v>314</v>
      </c>
      <c r="F82" s="50">
        <f>80</f>
        <v>80</v>
      </c>
      <c r="G82" s="152" t="s">
        <v>877</v>
      </c>
      <c r="H82" s="152" t="s">
        <v>742</v>
      </c>
      <c r="I82" s="167"/>
    </row>
    <row r="83" spans="1:9" ht="14.25">
      <c r="A83" s="70">
        <v>81</v>
      </c>
      <c r="B83" s="74" t="s">
        <v>19</v>
      </c>
      <c r="C83" s="152" t="s">
        <v>919</v>
      </c>
      <c r="D83" s="152" t="s">
        <v>842</v>
      </c>
      <c r="E83" s="152" t="s">
        <v>838</v>
      </c>
      <c r="F83" s="50">
        <f>80</f>
        <v>80</v>
      </c>
      <c r="G83" s="152" t="s">
        <v>877</v>
      </c>
      <c r="H83" s="152" t="s">
        <v>742</v>
      </c>
      <c r="I83" s="167"/>
    </row>
    <row r="84" spans="1:9" ht="14.25">
      <c r="A84" s="70">
        <v>82</v>
      </c>
      <c r="B84" s="74" t="s">
        <v>19</v>
      </c>
      <c r="C84" s="152" t="s">
        <v>915</v>
      </c>
      <c r="D84" s="152" t="s">
        <v>894</v>
      </c>
      <c r="E84" s="149" t="s">
        <v>895</v>
      </c>
      <c r="F84" s="50">
        <f>80</f>
        <v>80</v>
      </c>
      <c r="G84" s="152" t="s">
        <v>876</v>
      </c>
      <c r="H84" s="152" t="s">
        <v>898</v>
      </c>
      <c r="I84" s="167"/>
    </row>
    <row r="85" spans="1:9" ht="14.25">
      <c r="A85" s="70">
        <v>83</v>
      </c>
      <c r="B85" s="74" t="s">
        <v>19</v>
      </c>
      <c r="C85" s="152" t="s">
        <v>915</v>
      </c>
      <c r="D85" s="152" t="s">
        <v>784</v>
      </c>
      <c r="E85" s="152" t="s">
        <v>785</v>
      </c>
      <c r="F85" s="50">
        <f>80</f>
        <v>80</v>
      </c>
      <c r="G85" s="152" t="s">
        <v>877</v>
      </c>
      <c r="H85" s="152" t="s">
        <v>742</v>
      </c>
      <c r="I85" s="167"/>
    </row>
    <row r="86" spans="1:9" ht="14.25">
      <c r="A86" s="70">
        <v>84</v>
      </c>
      <c r="B86" s="74" t="s">
        <v>19</v>
      </c>
      <c r="C86" s="152" t="s">
        <v>923</v>
      </c>
      <c r="D86" s="152" t="s">
        <v>478</v>
      </c>
      <c r="E86" s="152" t="s">
        <v>796</v>
      </c>
      <c r="F86" s="50">
        <f>80</f>
        <v>80</v>
      </c>
      <c r="G86" s="152" t="s">
        <v>877</v>
      </c>
      <c r="H86" s="152" t="s">
        <v>742</v>
      </c>
      <c r="I86" s="167"/>
    </row>
    <row r="87" spans="1:9" ht="14.25">
      <c r="A87" s="70">
        <v>85</v>
      </c>
      <c r="B87" s="74" t="s">
        <v>19</v>
      </c>
      <c r="C87" s="152" t="s">
        <v>923</v>
      </c>
      <c r="D87" s="152" t="s">
        <v>835</v>
      </c>
      <c r="E87" s="152" t="s">
        <v>444</v>
      </c>
      <c r="F87" s="50">
        <f>80</f>
        <v>80</v>
      </c>
      <c r="G87" s="152" t="s">
        <v>877</v>
      </c>
      <c r="H87" s="152" t="s">
        <v>742</v>
      </c>
      <c r="I87" s="167"/>
    </row>
    <row r="88" spans="1:9" ht="14.25">
      <c r="A88" s="70">
        <v>86</v>
      </c>
      <c r="B88" s="74" t="s">
        <v>19</v>
      </c>
      <c r="C88" s="152" t="s">
        <v>923</v>
      </c>
      <c r="D88" s="152" t="s">
        <v>836</v>
      </c>
      <c r="E88" s="152" t="s">
        <v>444</v>
      </c>
      <c r="F88" s="50">
        <f>80</f>
        <v>80</v>
      </c>
      <c r="G88" s="152" t="s">
        <v>877</v>
      </c>
      <c r="H88" s="152" t="s">
        <v>742</v>
      </c>
      <c r="I88" s="167"/>
    </row>
    <row r="89" spans="1:9" ht="14.25">
      <c r="A89" s="70">
        <v>87</v>
      </c>
      <c r="B89" s="74" t="s">
        <v>19</v>
      </c>
      <c r="C89" s="152" t="s">
        <v>923</v>
      </c>
      <c r="D89" s="152" t="s">
        <v>864</v>
      </c>
      <c r="E89" s="152" t="s">
        <v>865</v>
      </c>
      <c r="F89" s="50">
        <f>80</f>
        <v>80</v>
      </c>
      <c r="G89" s="152" t="s">
        <v>879</v>
      </c>
      <c r="H89" s="152" t="s">
        <v>880</v>
      </c>
      <c r="I89" s="167"/>
    </row>
    <row r="90" spans="1:9" ht="14.25">
      <c r="A90" s="70">
        <v>88</v>
      </c>
      <c r="B90" s="74" t="s">
        <v>19</v>
      </c>
      <c r="C90" s="152" t="s">
        <v>923</v>
      </c>
      <c r="D90" s="152" t="s">
        <v>866</v>
      </c>
      <c r="E90" s="152" t="s">
        <v>867</v>
      </c>
      <c r="F90" s="50">
        <f>80</f>
        <v>80</v>
      </c>
      <c r="G90" s="152" t="s">
        <v>881</v>
      </c>
      <c r="H90" s="152" t="s">
        <v>882</v>
      </c>
      <c r="I90" s="108" t="s">
        <v>606</v>
      </c>
    </row>
    <row r="91" spans="1:9" ht="14.25">
      <c r="A91" s="70">
        <v>89</v>
      </c>
      <c r="B91" s="74" t="s">
        <v>19</v>
      </c>
      <c r="C91" s="152" t="s">
        <v>923</v>
      </c>
      <c r="D91" s="152" t="s">
        <v>841</v>
      </c>
      <c r="E91" s="152" t="s">
        <v>838</v>
      </c>
      <c r="F91" s="50">
        <f>80</f>
        <v>80</v>
      </c>
      <c r="G91" s="152" t="s">
        <v>877</v>
      </c>
      <c r="H91" s="152" t="s">
        <v>742</v>
      </c>
      <c r="I91" s="108"/>
    </row>
    <row r="92" spans="1:9" ht="14.25">
      <c r="A92" s="70">
        <v>90</v>
      </c>
      <c r="B92" s="74" t="s">
        <v>19</v>
      </c>
      <c r="C92" s="152" t="s">
        <v>923</v>
      </c>
      <c r="D92" s="152" t="s">
        <v>938</v>
      </c>
      <c r="E92" s="152" t="s">
        <v>659</v>
      </c>
      <c r="F92" s="50">
        <f>80</f>
        <v>80</v>
      </c>
      <c r="G92" s="152" t="s">
        <v>933</v>
      </c>
      <c r="H92" s="152" t="s">
        <v>952</v>
      </c>
      <c r="I92" s="108" t="s">
        <v>961</v>
      </c>
    </row>
    <row r="93" spans="1:9" ht="14.25">
      <c r="A93" s="70">
        <v>91</v>
      </c>
      <c r="B93" s="74" t="s">
        <v>19</v>
      </c>
      <c r="C93" s="152" t="s">
        <v>923</v>
      </c>
      <c r="D93" s="152" t="s">
        <v>939</v>
      </c>
      <c r="E93" s="152" t="s">
        <v>641</v>
      </c>
      <c r="F93" s="50">
        <f>80</f>
        <v>80</v>
      </c>
      <c r="G93" s="152" t="s">
        <v>933</v>
      </c>
      <c r="H93" s="152" t="s">
        <v>952</v>
      </c>
      <c r="I93" s="154" t="s">
        <v>978</v>
      </c>
    </row>
    <row r="94" spans="1:9" ht="14.25">
      <c r="A94" s="70">
        <v>92</v>
      </c>
      <c r="B94" s="74" t="s">
        <v>19</v>
      </c>
      <c r="C94" s="152" t="s">
        <v>923</v>
      </c>
      <c r="D94" s="152" t="s">
        <v>940</v>
      </c>
      <c r="E94" s="152" t="s">
        <v>661</v>
      </c>
      <c r="F94" s="50">
        <f>80</f>
        <v>80</v>
      </c>
      <c r="G94" s="152" t="s">
        <v>933</v>
      </c>
      <c r="H94" s="152" t="s">
        <v>952</v>
      </c>
      <c r="I94" s="108" t="s">
        <v>957</v>
      </c>
    </row>
    <row r="95" spans="1:9" ht="14.25">
      <c r="A95" s="70">
        <v>93</v>
      </c>
      <c r="B95" s="74" t="s">
        <v>19</v>
      </c>
      <c r="C95" s="152" t="s">
        <v>923</v>
      </c>
      <c r="D95" s="152" t="s">
        <v>941</v>
      </c>
      <c r="E95" s="152" t="s">
        <v>641</v>
      </c>
      <c r="F95" s="50">
        <f>80</f>
        <v>80</v>
      </c>
      <c r="G95" s="152" t="s">
        <v>933</v>
      </c>
      <c r="H95" s="152" t="s">
        <v>952</v>
      </c>
      <c r="I95" s="108" t="s">
        <v>977</v>
      </c>
    </row>
    <row r="96" spans="1:9" ht="14.25">
      <c r="A96" s="70">
        <v>94</v>
      </c>
      <c r="B96" s="74" t="s">
        <v>19</v>
      </c>
      <c r="C96" s="152" t="s">
        <v>923</v>
      </c>
      <c r="D96" s="152" t="s">
        <v>942</v>
      </c>
      <c r="E96" s="152" t="s">
        <v>640</v>
      </c>
      <c r="F96" s="50">
        <f>80</f>
        <v>80</v>
      </c>
      <c r="G96" s="152" t="s">
        <v>933</v>
      </c>
      <c r="H96" s="152" t="s">
        <v>952</v>
      </c>
      <c r="I96" s="108" t="s">
        <v>979</v>
      </c>
    </row>
    <row r="97" spans="1:9" ht="14.25">
      <c r="A97" s="70">
        <v>95</v>
      </c>
      <c r="B97" s="74" t="s">
        <v>19</v>
      </c>
      <c r="C97" s="152" t="s">
        <v>923</v>
      </c>
      <c r="D97" s="152" t="s">
        <v>943</v>
      </c>
      <c r="E97" s="152" t="s">
        <v>644</v>
      </c>
      <c r="F97" s="50">
        <f>80</f>
        <v>80</v>
      </c>
      <c r="G97" s="152" t="s">
        <v>933</v>
      </c>
      <c r="H97" s="152" t="s">
        <v>952</v>
      </c>
      <c r="I97" s="108"/>
    </row>
    <row r="98" spans="1:9" ht="14.25">
      <c r="A98" s="70">
        <v>96</v>
      </c>
      <c r="B98" s="74" t="s">
        <v>19</v>
      </c>
      <c r="C98" s="152" t="s">
        <v>923</v>
      </c>
      <c r="D98" s="152" t="s">
        <v>944</v>
      </c>
      <c r="E98" s="152" t="s">
        <v>649</v>
      </c>
      <c r="F98" s="50">
        <f>80</f>
        <v>80</v>
      </c>
      <c r="G98" s="152" t="s">
        <v>933</v>
      </c>
      <c r="H98" s="152" t="s">
        <v>952</v>
      </c>
      <c r="I98" s="108" t="s">
        <v>972</v>
      </c>
    </row>
    <row r="99" spans="1:9" ht="14.25">
      <c r="A99" s="70">
        <v>97</v>
      </c>
      <c r="B99" s="74" t="s">
        <v>19</v>
      </c>
      <c r="C99" s="152" t="s">
        <v>923</v>
      </c>
      <c r="D99" s="152" t="s">
        <v>945</v>
      </c>
      <c r="E99" s="152" t="s">
        <v>659</v>
      </c>
      <c r="F99" s="50">
        <f>80</f>
        <v>80</v>
      </c>
      <c r="G99" s="152" t="s">
        <v>933</v>
      </c>
      <c r="H99" s="152" t="s">
        <v>952</v>
      </c>
      <c r="I99" s="108"/>
    </row>
    <row r="100" spans="1:9" ht="14.25">
      <c r="A100" s="70">
        <v>98</v>
      </c>
      <c r="B100" s="74" t="s">
        <v>19</v>
      </c>
      <c r="C100" s="152" t="s">
        <v>920</v>
      </c>
      <c r="D100" s="152" t="s">
        <v>782</v>
      </c>
      <c r="E100" s="152" t="s">
        <v>783</v>
      </c>
      <c r="F100" s="50">
        <f>80</f>
        <v>80</v>
      </c>
      <c r="G100" s="152" t="s">
        <v>877</v>
      </c>
      <c r="H100" s="152" t="s">
        <v>742</v>
      </c>
      <c r="I100" s="167"/>
    </row>
    <row r="101" spans="1:9" ht="14.25">
      <c r="A101" s="70">
        <v>99</v>
      </c>
      <c r="B101" s="74" t="s">
        <v>19</v>
      </c>
      <c r="C101" s="152" t="s">
        <v>920</v>
      </c>
      <c r="D101" s="152" t="s">
        <v>786</v>
      </c>
      <c r="E101" s="152" t="s">
        <v>787</v>
      </c>
      <c r="F101" s="50">
        <f>80</f>
        <v>80</v>
      </c>
      <c r="G101" s="152" t="s">
        <v>877</v>
      </c>
      <c r="H101" s="152" t="s">
        <v>742</v>
      </c>
      <c r="I101" s="167"/>
    </row>
    <row r="102" spans="1:9" ht="14.25">
      <c r="A102" s="70">
        <v>100</v>
      </c>
      <c r="B102" s="74" t="s">
        <v>19</v>
      </c>
      <c r="C102" s="152" t="s">
        <v>922</v>
      </c>
      <c r="D102" s="152" t="s">
        <v>792</v>
      </c>
      <c r="E102" s="152" t="s">
        <v>791</v>
      </c>
      <c r="F102" s="50">
        <f>80</f>
        <v>80</v>
      </c>
      <c r="G102" s="152" t="s">
        <v>877</v>
      </c>
      <c r="H102" s="152" t="s">
        <v>742</v>
      </c>
      <c r="I102" s="167"/>
    </row>
    <row r="103" spans="1:9" ht="14.25">
      <c r="A103" s="70">
        <v>101</v>
      </c>
      <c r="B103" s="74" t="s">
        <v>19</v>
      </c>
      <c r="C103" s="152" t="s">
        <v>922</v>
      </c>
      <c r="D103" s="152" t="s">
        <v>793</v>
      </c>
      <c r="E103" s="152" t="s">
        <v>320</v>
      </c>
      <c r="F103" s="50">
        <f>80</f>
        <v>80</v>
      </c>
      <c r="G103" s="152" t="s">
        <v>877</v>
      </c>
      <c r="H103" s="152" t="s">
        <v>742</v>
      </c>
      <c r="I103" s="167"/>
    </row>
    <row r="104" spans="1:9" ht="14.25">
      <c r="A104" s="70">
        <v>102</v>
      </c>
      <c r="B104" s="74" t="s">
        <v>19</v>
      </c>
      <c r="C104" s="152" t="s">
        <v>922</v>
      </c>
      <c r="D104" s="152" t="s">
        <v>794</v>
      </c>
      <c r="E104" s="152" t="s">
        <v>795</v>
      </c>
      <c r="F104" s="50">
        <f>80</f>
        <v>80</v>
      </c>
      <c r="G104" s="152" t="s">
        <v>877</v>
      </c>
      <c r="H104" s="152" t="s">
        <v>742</v>
      </c>
      <c r="I104" s="167"/>
    </row>
    <row r="105" spans="1:9" ht="14.25">
      <c r="A105" s="70">
        <v>103</v>
      </c>
      <c r="B105" s="74" t="s">
        <v>19</v>
      </c>
      <c r="C105" s="152" t="s">
        <v>922</v>
      </c>
      <c r="D105" s="152" t="s">
        <v>839</v>
      </c>
      <c r="E105" s="152" t="s">
        <v>838</v>
      </c>
      <c r="F105" s="50">
        <f>80</f>
        <v>80</v>
      </c>
      <c r="G105" s="152" t="s">
        <v>877</v>
      </c>
      <c r="H105" s="152" t="s">
        <v>742</v>
      </c>
      <c r="I105" s="167"/>
    </row>
    <row r="106" spans="1:9" ht="14.25">
      <c r="A106" s="70">
        <v>104</v>
      </c>
      <c r="B106" s="74" t="s">
        <v>19</v>
      </c>
      <c r="C106" s="152" t="s">
        <v>922</v>
      </c>
      <c r="D106" s="152" t="s">
        <v>843</v>
      </c>
      <c r="E106" s="152" t="s">
        <v>437</v>
      </c>
      <c r="F106" s="50">
        <f>80</f>
        <v>80</v>
      </c>
      <c r="G106" s="152" t="s">
        <v>877</v>
      </c>
      <c r="H106" s="152" t="s">
        <v>742</v>
      </c>
      <c r="I106" s="167"/>
    </row>
    <row r="107" spans="1:9" ht="14.25">
      <c r="A107" s="70">
        <v>105</v>
      </c>
      <c r="B107" s="74" t="s">
        <v>19</v>
      </c>
      <c r="C107" s="152" t="s">
        <v>920</v>
      </c>
      <c r="D107" s="152" t="s">
        <v>846</v>
      </c>
      <c r="E107" s="152" t="s">
        <v>428</v>
      </c>
      <c r="F107" s="50">
        <f>80</f>
        <v>80</v>
      </c>
      <c r="G107" s="152" t="s">
        <v>877</v>
      </c>
      <c r="H107" s="152" t="s">
        <v>742</v>
      </c>
      <c r="I107" s="167"/>
    </row>
    <row r="108" spans="1:9" ht="14.25">
      <c r="A108" s="70">
        <v>106</v>
      </c>
      <c r="B108" s="74" t="s">
        <v>19</v>
      </c>
      <c r="C108" s="152" t="s">
        <v>920</v>
      </c>
      <c r="D108" s="152" t="s">
        <v>849</v>
      </c>
      <c r="E108" s="152" t="s">
        <v>314</v>
      </c>
      <c r="F108" s="50">
        <f>80</f>
        <v>80</v>
      </c>
      <c r="G108" s="152" t="s">
        <v>877</v>
      </c>
      <c r="H108" s="152" t="s">
        <v>742</v>
      </c>
      <c r="I108" s="167"/>
    </row>
    <row r="109" spans="1:9" ht="14.25">
      <c r="A109" s="70">
        <v>107</v>
      </c>
      <c r="B109" s="74" t="s">
        <v>19</v>
      </c>
      <c r="C109" s="152" t="s">
        <v>920</v>
      </c>
      <c r="D109" s="152" t="s">
        <v>856</v>
      </c>
      <c r="E109" s="152" t="s">
        <v>314</v>
      </c>
      <c r="F109" s="50">
        <f>80</f>
        <v>80</v>
      </c>
      <c r="G109" s="152" t="s">
        <v>877</v>
      </c>
      <c r="H109" s="152" t="s">
        <v>742</v>
      </c>
      <c r="I109" s="167"/>
    </row>
    <row r="110" spans="1:9" ht="14.25">
      <c r="A110" s="70">
        <v>108</v>
      </c>
      <c r="B110" s="74" t="s">
        <v>19</v>
      </c>
      <c r="C110" s="152" t="s">
        <v>920</v>
      </c>
      <c r="D110" s="152" t="s">
        <v>934</v>
      </c>
      <c r="E110" s="152" t="s">
        <v>971</v>
      </c>
      <c r="F110" s="50">
        <f>80</f>
        <v>80</v>
      </c>
      <c r="G110" s="152" t="s">
        <v>933</v>
      </c>
      <c r="H110" s="152" t="s">
        <v>952</v>
      </c>
      <c r="I110" s="108" t="s">
        <v>981</v>
      </c>
    </row>
    <row r="111" spans="1:9" ht="14.25">
      <c r="A111" s="70">
        <v>109</v>
      </c>
      <c r="B111" s="74" t="s">
        <v>19</v>
      </c>
      <c r="C111" s="152" t="s">
        <v>920</v>
      </c>
      <c r="D111" s="152" t="s">
        <v>935</v>
      </c>
      <c r="E111" s="152" t="s">
        <v>639</v>
      </c>
      <c r="F111" s="50">
        <f>80</f>
        <v>80</v>
      </c>
      <c r="G111" s="152" t="s">
        <v>933</v>
      </c>
      <c r="H111" s="152" t="s">
        <v>952</v>
      </c>
      <c r="I111" s="108" t="s">
        <v>982</v>
      </c>
    </row>
    <row r="112" spans="1:9" ht="14.25">
      <c r="A112" s="70">
        <v>110</v>
      </c>
      <c r="B112" s="74" t="s">
        <v>19</v>
      </c>
      <c r="C112" s="152" t="s">
        <v>920</v>
      </c>
      <c r="D112" s="152" t="s">
        <v>936</v>
      </c>
      <c r="E112" s="152" t="s">
        <v>654</v>
      </c>
      <c r="F112" s="50">
        <f>80</f>
        <v>80</v>
      </c>
      <c r="G112" s="152" t="s">
        <v>933</v>
      </c>
      <c r="H112" s="152" t="s">
        <v>952</v>
      </c>
      <c r="I112" s="108" t="s">
        <v>983</v>
      </c>
    </row>
    <row r="113" spans="1:9" ht="14.25">
      <c r="A113" s="70">
        <v>111</v>
      </c>
      <c r="B113" s="74" t="s">
        <v>19</v>
      </c>
      <c r="C113" s="152" t="s">
        <v>920</v>
      </c>
      <c r="D113" s="152" t="s">
        <v>937</v>
      </c>
      <c r="E113" s="152" t="s">
        <v>641</v>
      </c>
      <c r="F113" s="50">
        <f>80</f>
        <v>80</v>
      </c>
      <c r="G113" s="152" t="s">
        <v>933</v>
      </c>
      <c r="H113" s="152" t="s">
        <v>952</v>
      </c>
      <c r="I113" s="108" t="s">
        <v>984</v>
      </c>
    </row>
    <row r="114" spans="1:9" ht="14.25">
      <c r="A114" s="70">
        <v>112</v>
      </c>
      <c r="B114" s="74" t="s">
        <v>19</v>
      </c>
      <c r="C114" s="152" t="s">
        <v>713</v>
      </c>
      <c r="D114" s="152" t="s">
        <v>775</v>
      </c>
      <c r="E114" s="152" t="s">
        <v>975</v>
      </c>
      <c r="F114" s="50">
        <f>80+80</f>
        <v>160</v>
      </c>
      <c r="G114" s="152" t="s">
        <v>876</v>
      </c>
      <c r="H114" s="152" t="s">
        <v>742</v>
      </c>
      <c r="I114" s="108"/>
    </row>
    <row r="115" spans="1:9" ht="14.25">
      <c r="A115" s="70">
        <v>113</v>
      </c>
      <c r="B115" s="74" t="s">
        <v>19</v>
      </c>
      <c r="C115" s="152" t="s">
        <v>713</v>
      </c>
      <c r="D115" s="152" t="s">
        <v>800</v>
      </c>
      <c r="E115" s="152" t="s">
        <v>798</v>
      </c>
      <c r="F115" s="50">
        <f>80</f>
        <v>80</v>
      </c>
      <c r="G115" s="152" t="s">
        <v>877</v>
      </c>
      <c r="H115" s="152" t="s">
        <v>742</v>
      </c>
      <c r="I115" s="108"/>
    </row>
    <row r="116" spans="1:9" ht="14.25">
      <c r="A116" s="70">
        <v>114</v>
      </c>
      <c r="B116" s="74" t="s">
        <v>19</v>
      </c>
      <c r="C116" s="152" t="s">
        <v>713</v>
      </c>
      <c r="D116" s="152" t="s">
        <v>821</v>
      </c>
      <c r="E116" s="152" t="s">
        <v>818</v>
      </c>
      <c r="F116" s="50">
        <f>80</f>
        <v>80</v>
      </c>
      <c r="G116" s="152" t="s">
        <v>877</v>
      </c>
      <c r="H116" s="152" t="s">
        <v>742</v>
      </c>
      <c r="I116" s="108"/>
    </row>
    <row r="117" spans="1:9" ht="14.25">
      <c r="A117" s="70">
        <v>115</v>
      </c>
      <c r="B117" s="74" t="s">
        <v>19</v>
      </c>
      <c r="C117" s="152" t="s">
        <v>713</v>
      </c>
      <c r="D117" s="152" t="s">
        <v>826</v>
      </c>
      <c r="E117" s="152" t="s">
        <v>825</v>
      </c>
      <c r="F117" s="50">
        <f>80</f>
        <v>80</v>
      </c>
      <c r="G117" s="152" t="s">
        <v>877</v>
      </c>
      <c r="H117" s="152" t="s">
        <v>742</v>
      </c>
      <c r="I117" s="108"/>
    </row>
    <row r="118" spans="1:9" ht="14.25">
      <c r="A118" s="70">
        <v>116</v>
      </c>
      <c r="B118" s="74" t="s">
        <v>19</v>
      </c>
      <c r="C118" s="152" t="s">
        <v>713</v>
      </c>
      <c r="D118" s="152" t="s">
        <v>829</v>
      </c>
      <c r="E118" s="152" t="s">
        <v>830</v>
      </c>
      <c r="F118" s="50">
        <f>80</f>
        <v>80</v>
      </c>
      <c r="G118" s="152" t="s">
        <v>877</v>
      </c>
      <c r="H118" s="152" t="s">
        <v>742</v>
      </c>
      <c r="I118" s="108"/>
    </row>
    <row r="119" spans="1:9" ht="14.25">
      <c r="A119" s="70">
        <v>117</v>
      </c>
      <c r="B119" s="74" t="s">
        <v>64</v>
      </c>
      <c r="C119" s="152" t="s">
        <v>713</v>
      </c>
      <c r="D119" s="152" t="s">
        <v>728</v>
      </c>
      <c r="E119" s="152" t="s">
        <v>444</v>
      </c>
      <c r="F119" s="50">
        <f>80</f>
        <v>80</v>
      </c>
      <c r="G119" s="152" t="s">
        <v>877</v>
      </c>
      <c r="H119" s="152" t="s">
        <v>742</v>
      </c>
      <c r="I119" s="108"/>
    </row>
    <row r="120" spans="1:9" ht="14.25">
      <c r="A120" s="70">
        <v>118</v>
      </c>
      <c r="B120" s="74" t="s">
        <v>19</v>
      </c>
      <c r="C120" s="152" t="s">
        <v>885</v>
      </c>
      <c r="D120" s="152" t="s">
        <v>868</v>
      </c>
      <c r="E120" s="152" t="s">
        <v>869</v>
      </c>
      <c r="F120" s="50">
        <f>80</f>
        <v>80</v>
      </c>
      <c r="G120" s="152" t="s">
        <v>881</v>
      </c>
      <c r="H120" s="152" t="s">
        <v>882</v>
      </c>
      <c r="I120" s="154" t="s">
        <v>905</v>
      </c>
    </row>
    <row r="121" spans="1:9" ht="14.25">
      <c r="A121" s="70">
        <v>119</v>
      </c>
      <c r="B121" s="74" t="s">
        <v>19</v>
      </c>
      <c r="C121" s="152" t="s">
        <v>885</v>
      </c>
      <c r="D121" s="152" t="s">
        <v>870</v>
      </c>
      <c r="E121" s="152" t="s">
        <v>871</v>
      </c>
      <c r="F121" s="50">
        <f>80</f>
        <v>80</v>
      </c>
      <c r="G121" s="152" t="s">
        <v>881</v>
      </c>
      <c r="H121" s="152" t="s">
        <v>882</v>
      </c>
      <c r="I121" s="154" t="s">
        <v>906</v>
      </c>
    </row>
    <row r="122" spans="1:9" ht="14.25">
      <c r="A122" s="70">
        <v>120</v>
      </c>
      <c r="B122" s="74" t="s">
        <v>19</v>
      </c>
      <c r="C122" s="152" t="s">
        <v>885</v>
      </c>
      <c r="D122" s="152" t="s">
        <v>872</v>
      </c>
      <c r="E122" s="152" t="s">
        <v>873</v>
      </c>
      <c r="F122" s="50">
        <f>80</f>
        <v>80</v>
      </c>
      <c r="G122" s="152" t="s">
        <v>883</v>
      </c>
      <c r="H122" s="152" t="s">
        <v>884</v>
      </c>
      <c r="I122" s="154" t="s">
        <v>913</v>
      </c>
    </row>
    <row r="123" spans="1:9" ht="14.25">
      <c r="A123" s="70">
        <v>121</v>
      </c>
      <c r="B123" s="74" t="s">
        <v>19</v>
      </c>
      <c r="C123" s="152" t="s">
        <v>885</v>
      </c>
      <c r="D123" s="152" t="s">
        <v>896</v>
      </c>
      <c r="E123" s="152" t="s">
        <v>897</v>
      </c>
      <c r="F123" s="50">
        <f>80</f>
        <v>80</v>
      </c>
      <c r="G123" s="152" t="s">
        <v>899</v>
      </c>
      <c r="H123" s="152" t="s">
        <v>900</v>
      </c>
      <c r="I123" s="154" t="s">
        <v>908</v>
      </c>
    </row>
    <row r="124" spans="1:9" ht="14.25">
      <c r="A124" s="70">
        <v>122</v>
      </c>
      <c r="B124" s="74" t="s">
        <v>19</v>
      </c>
      <c r="C124" s="152" t="s">
        <v>914</v>
      </c>
      <c r="D124" s="152" t="s">
        <v>888</v>
      </c>
      <c r="E124" s="152" t="s">
        <v>887</v>
      </c>
      <c r="F124" s="50">
        <f>80</f>
        <v>80</v>
      </c>
      <c r="G124" s="152" t="s">
        <v>876</v>
      </c>
      <c r="H124" s="152" t="s">
        <v>898</v>
      </c>
      <c r="I124" s="154" t="s">
        <v>909</v>
      </c>
    </row>
    <row r="125" spans="1:9" ht="14.25">
      <c r="A125" s="70">
        <v>123</v>
      </c>
      <c r="B125" s="74" t="s">
        <v>19</v>
      </c>
      <c r="C125" s="152" t="s">
        <v>914</v>
      </c>
      <c r="D125" s="152" t="s">
        <v>890</v>
      </c>
      <c r="E125" s="152" t="s">
        <v>891</v>
      </c>
      <c r="F125" s="50">
        <f>80</f>
        <v>80</v>
      </c>
      <c r="G125" s="152" t="s">
        <v>876</v>
      </c>
      <c r="H125" s="152" t="s">
        <v>898</v>
      </c>
      <c r="I125" s="154" t="s">
        <v>911</v>
      </c>
    </row>
    <row r="126" spans="1:9" ht="14.25">
      <c r="A126" s="70">
        <v>124</v>
      </c>
      <c r="B126" s="74" t="s">
        <v>19</v>
      </c>
      <c r="C126" s="152" t="s">
        <v>914</v>
      </c>
      <c r="D126" s="152" t="s">
        <v>892</v>
      </c>
      <c r="E126" s="152" t="s">
        <v>893</v>
      </c>
      <c r="F126" s="50">
        <f>80</f>
        <v>80</v>
      </c>
      <c r="G126" s="152" t="s">
        <v>876</v>
      </c>
      <c r="H126" s="152" t="s">
        <v>898</v>
      </c>
      <c r="I126" s="154" t="s">
        <v>912</v>
      </c>
    </row>
    <row r="127" spans="1:9" ht="14.25">
      <c r="A127" s="70">
        <v>125</v>
      </c>
      <c r="B127" s="74" t="s">
        <v>19</v>
      </c>
      <c r="C127" s="152" t="s">
        <v>914</v>
      </c>
      <c r="D127" s="152" t="s">
        <v>946</v>
      </c>
      <c r="E127" s="152" t="s">
        <v>963</v>
      </c>
      <c r="F127" s="50">
        <f>80</f>
        <v>80</v>
      </c>
      <c r="G127" s="152" t="s">
        <v>876</v>
      </c>
      <c r="H127" s="152" t="s">
        <v>898</v>
      </c>
      <c r="I127" s="108"/>
    </row>
    <row r="128" spans="1:9" ht="14.25">
      <c r="A128" s="70">
        <v>126</v>
      </c>
      <c r="B128" s="74" t="s">
        <v>19</v>
      </c>
      <c r="C128" s="152" t="s">
        <v>914</v>
      </c>
      <c r="D128" s="152" t="s">
        <v>947</v>
      </c>
      <c r="E128" s="152" t="s">
        <v>644</v>
      </c>
      <c r="F128" s="50">
        <f>80</f>
        <v>80</v>
      </c>
      <c r="G128" s="152" t="s">
        <v>876</v>
      </c>
      <c r="H128" s="152" t="s">
        <v>898</v>
      </c>
      <c r="I128" s="108" t="s">
        <v>985</v>
      </c>
    </row>
    <row r="129" spans="1:9" ht="14.25">
      <c r="A129" s="70">
        <v>127</v>
      </c>
      <c r="B129" s="74" t="s">
        <v>19</v>
      </c>
      <c r="C129" s="152" t="s">
        <v>914</v>
      </c>
      <c r="D129" s="73" t="s">
        <v>948</v>
      </c>
      <c r="E129" s="152" t="s">
        <v>649</v>
      </c>
      <c r="F129" s="50">
        <f>80</f>
        <v>80</v>
      </c>
      <c r="G129" s="152" t="s">
        <v>876</v>
      </c>
      <c r="H129" s="152" t="s">
        <v>898</v>
      </c>
      <c r="I129" s="108" t="s">
        <v>986</v>
      </c>
    </row>
    <row r="130" spans="1:9" ht="14.25">
      <c r="A130" s="70">
        <v>128</v>
      </c>
      <c r="B130" s="74" t="s">
        <v>19</v>
      </c>
      <c r="C130" s="152" t="s">
        <v>914</v>
      </c>
      <c r="D130" s="73" t="s">
        <v>949</v>
      </c>
      <c r="E130" s="152" t="s">
        <v>641</v>
      </c>
      <c r="F130" s="50">
        <f>80</f>
        <v>80</v>
      </c>
      <c r="G130" s="152" t="s">
        <v>876</v>
      </c>
      <c r="H130" s="152" t="s">
        <v>898</v>
      </c>
      <c r="I130" s="108" t="s">
        <v>987</v>
      </c>
    </row>
    <row r="131" spans="1:9" ht="14.25">
      <c r="A131" s="70">
        <v>129</v>
      </c>
      <c r="B131" s="74" t="s">
        <v>19</v>
      </c>
      <c r="C131" s="152" t="s">
        <v>914</v>
      </c>
      <c r="D131" s="73" t="s">
        <v>950</v>
      </c>
      <c r="E131" s="152" t="s">
        <v>649</v>
      </c>
      <c r="F131" s="50">
        <f>80</f>
        <v>80</v>
      </c>
      <c r="G131" s="152" t="s">
        <v>876</v>
      </c>
      <c r="H131" s="152" t="s">
        <v>898</v>
      </c>
      <c r="I131" s="108" t="s">
        <v>973</v>
      </c>
    </row>
    <row r="132" spans="1:9" ht="14.25">
      <c r="A132" s="70">
        <v>130</v>
      </c>
      <c r="B132" s="74" t="s">
        <v>19</v>
      </c>
      <c r="C132" s="152" t="s">
        <v>914</v>
      </c>
      <c r="D132" s="73" t="s">
        <v>951</v>
      </c>
      <c r="E132" s="152" t="s">
        <v>642</v>
      </c>
      <c r="F132" s="50">
        <f>80</f>
        <v>80</v>
      </c>
      <c r="G132" s="152" t="s">
        <v>876</v>
      </c>
      <c r="H132" s="152" t="s">
        <v>898</v>
      </c>
      <c r="I132" s="108"/>
    </row>
    <row r="133" spans="1:9" ht="14.25">
      <c r="A133" s="70"/>
      <c r="B133" s="74"/>
      <c r="C133" s="74"/>
      <c r="D133" s="73"/>
      <c r="E133" s="152"/>
      <c r="F133" s="50"/>
      <c r="G133" s="50"/>
      <c r="H133" s="152"/>
      <c r="I133" s="108"/>
    </row>
    <row r="134" spans="1:9" ht="14.25">
      <c r="A134" s="70"/>
      <c r="B134" s="74"/>
      <c r="C134" s="74"/>
      <c r="D134" s="73"/>
      <c r="E134" s="152"/>
      <c r="F134" s="50"/>
      <c r="G134" s="50"/>
      <c r="H134" s="152"/>
      <c r="I134" s="108"/>
    </row>
    <row r="135" spans="1:9" ht="14.25">
      <c r="A135" s="70"/>
      <c r="B135" s="74"/>
      <c r="C135" s="74"/>
      <c r="D135" s="73"/>
      <c r="E135" s="152"/>
      <c r="F135" s="50"/>
      <c r="G135" s="50"/>
      <c r="H135" s="152"/>
      <c r="I135" s="108"/>
    </row>
    <row r="136" spans="1:9" ht="14.25">
      <c r="A136" s="70"/>
      <c r="B136" s="74"/>
      <c r="C136" s="74"/>
      <c r="D136" s="73"/>
      <c r="E136" s="152"/>
      <c r="F136" s="50"/>
      <c r="G136" s="50"/>
      <c r="H136" s="152"/>
      <c r="I136" s="167"/>
    </row>
    <row r="137" spans="1:9" ht="14.25">
      <c r="A137" s="70"/>
      <c r="B137" s="74"/>
      <c r="C137" s="74"/>
      <c r="D137" s="73"/>
      <c r="E137" s="152"/>
      <c r="F137" s="50"/>
      <c r="G137" s="50"/>
      <c r="H137" s="152"/>
      <c r="I137" s="167"/>
    </row>
    <row r="138" spans="1:9" ht="14.25">
      <c r="A138" s="70"/>
      <c r="B138" s="74"/>
      <c r="C138" s="74"/>
      <c r="D138" s="73"/>
      <c r="E138" s="152"/>
      <c r="F138" s="50"/>
      <c r="G138" s="50"/>
      <c r="H138" s="152"/>
      <c r="I138" s="167"/>
    </row>
    <row r="139" spans="1:9" ht="14.25">
      <c r="A139" s="70"/>
      <c r="B139" s="74"/>
      <c r="C139" s="74"/>
      <c r="D139" s="73"/>
      <c r="E139" s="152"/>
      <c r="F139" s="50"/>
      <c r="G139" s="50"/>
      <c r="H139" s="152"/>
      <c r="I139" s="167"/>
    </row>
    <row r="140" spans="1:9" ht="14.25">
      <c r="A140" s="70"/>
      <c r="B140" s="74"/>
      <c r="C140" s="74"/>
      <c r="D140" s="73"/>
      <c r="E140" s="152"/>
      <c r="F140" s="50"/>
      <c r="G140" s="50"/>
      <c r="H140" s="152"/>
      <c r="I140" s="167"/>
    </row>
    <row r="141" spans="1:9" ht="14.25">
      <c r="A141" s="70"/>
      <c r="B141" s="74"/>
      <c r="C141" s="74"/>
      <c r="D141" s="73"/>
      <c r="E141" s="152"/>
      <c r="F141" s="50"/>
      <c r="G141" s="50"/>
      <c r="H141" s="152"/>
      <c r="I141" s="167"/>
    </row>
    <row r="142" spans="1:9" ht="14.25">
      <c r="A142" s="70"/>
      <c r="B142" s="74"/>
      <c r="C142" s="74"/>
      <c r="D142" s="73"/>
      <c r="E142" s="152"/>
      <c r="F142" s="50"/>
      <c r="G142" s="50"/>
      <c r="H142" s="152"/>
      <c r="I142" s="167"/>
    </row>
    <row r="143" spans="1:9" ht="14.25">
      <c r="A143" s="70"/>
      <c r="B143" s="74"/>
      <c r="C143" s="74"/>
      <c r="D143" s="73"/>
      <c r="E143" s="152"/>
      <c r="F143" s="50"/>
      <c r="G143" s="50"/>
      <c r="H143" s="152"/>
      <c r="I143" s="167"/>
    </row>
    <row r="144" spans="1:9" ht="14.25">
      <c r="A144" s="70"/>
      <c r="B144" s="74"/>
      <c r="C144" s="74"/>
      <c r="D144" s="73"/>
      <c r="E144" s="152"/>
      <c r="F144" s="50"/>
      <c r="G144" s="50"/>
      <c r="H144" s="152"/>
      <c r="I144" s="167"/>
    </row>
    <row r="145" spans="1:9" ht="14.25">
      <c r="A145" s="70"/>
      <c r="B145" s="74"/>
      <c r="C145" s="74"/>
      <c r="D145" s="136"/>
      <c r="E145" s="33"/>
      <c r="F145" s="50"/>
      <c r="G145" s="50"/>
      <c r="H145" s="33"/>
      <c r="I145" s="108"/>
    </row>
    <row r="146" spans="1:9" ht="14.25">
      <c r="A146" s="70"/>
      <c r="B146" s="74"/>
      <c r="C146" s="74"/>
      <c r="D146" s="136"/>
      <c r="E146" s="33"/>
      <c r="F146" s="50"/>
      <c r="G146" s="50"/>
      <c r="H146" s="33"/>
      <c r="I146" s="108"/>
    </row>
    <row r="147" spans="1:9" ht="14.25">
      <c r="A147" s="70"/>
      <c r="B147" s="74"/>
      <c r="C147" s="74"/>
      <c r="D147" s="136"/>
      <c r="E147" s="33"/>
      <c r="F147" s="50"/>
      <c r="G147" s="50"/>
      <c r="H147" s="33"/>
      <c r="I147" s="108"/>
    </row>
    <row r="148" spans="1:9" ht="14.25">
      <c r="A148" s="70"/>
      <c r="B148" s="74"/>
      <c r="C148" s="74"/>
      <c r="D148" s="136"/>
      <c r="E148" s="33"/>
      <c r="F148" s="50"/>
      <c r="G148" s="50"/>
      <c r="H148" s="33"/>
      <c r="I148" s="154"/>
    </row>
    <row r="149" spans="1:9" ht="14.25">
      <c r="A149" s="70"/>
      <c r="B149" s="74"/>
      <c r="C149" s="74"/>
      <c r="D149" s="136"/>
      <c r="E149" s="33"/>
      <c r="F149" s="50"/>
      <c r="G149" s="50"/>
      <c r="H149" s="33"/>
      <c r="I149" s="108"/>
    </row>
    <row r="150" spans="1:9" ht="14.25" customHeight="1">
      <c r="A150" s="221" t="s">
        <v>1687</v>
      </c>
      <c r="B150" s="222"/>
      <c r="C150" s="222"/>
      <c r="D150" s="222"/>
      <c r="E150" s="223"/>
      <c r="F150" s="50">
        <f>SUM(F3:F149)</f>
        <v>11440</v>
      </c>
    </row>
    <row r="151" spans="1:9">
      <c r="A151" s="63"/>
      <c r="B151" s="63"/>
      <c r="C151" s="63"/>
      <c r="D151" s="63"/>
      <c r="E151" s="63"/>
      <c r="F151" s="63"/>
      <c r="G151" s="63"/>
      <c r="H151" s="63"/>
      <c r="I151" s="63"/>
    </row>
    <row r="152" spans="1:9" ht="14.25">
      <c r="A152" s="70">
        <v>1</v>
      </c>
      <c r="B152" s="155" t="s">
        <v>95</v>
      </c>
      <c r="C152" s="155"/>
      <c r="D152" s="136" t="s">
        <v>662</v>
      </c>
      <c r="E152" s="33" t="s">
        <v>661</v>
      </c>
      <c r="F152" s="50">
        <v>80</v>
      </c>
      <c r="G152" s="152" t="s">
        <v>1691</v>
      </c>
      <c r="H152" s="33"/>
      <c r="I152" s="168"/>
    </row>
    <row r="153" spans="1:9" ht="14.25">
      <c r="A153" s="70">
        <v>2</v>
      </c>
      <c r="B153" s="155" t="s">
        <v>95</v>
      </c>
      <c r="C153" s="155"/>
      <c r="D153" s="136" t="s">
        <v>669</v>
      </c>
      <c r="E153" s="33" t="s">
        <v>670</v>
      </c>
      <c r="F153" s="50">
        <v>80</v>
      </c>
      <c r="G153" s="152" t="s">
        <v>1692</v>
      </c>
      <c r="H153" s="33"/>
      <c r="I153" s="168"/>
    </row>
    <row r="154" spans="1:9" ht="14.25">
      <c r="A154" s="70">
        <v>3</v>
      </c>
      <c r="B154" s="155" t="s">
        <v>95</v>
      </c>
      <c r="C154" s="70"/>
      <c r="D154" s="152" t="s">
        <v>658</v>
      </c>
      <c r="E154" s="152" t="s">
        <v>966</v>
      </c>
      <c r="F154" s="50">
        <v>80</v>
      </c>
      <c r="G154" s="152" t="s">
        <v>967</v>
      </c>
      <c r="H154" s="152" t="s">
        <v>968</v>
      </c>
      <c r="I154" s="168" t="s">
        <v>965</v>
      </c>
    </row>
    <row r="155" spans="1:9" ht="14.25">
      <c r="A155" s="70"/>
      <c r="B155" s="155"/>
      <c r="C155" s="70"/>
      <c r="D155" s="70"/>
      <c r="E155" s="70"/>
      <c r="F155" s="70"/>
      <c r="G155" s="70"/>
      <c r="H155" s="70"/>
      <c r="I155" s="168"/>
    </row>
    <row r="156" spans="1:9" ht="14.25">
      <c r="A156" s="70"/>
      <c r="B156" s="155"/>
      <c r="C156" s="70"/>
      <c r="D156" s="70"/>
      <c r="E156" s="70"/>
      <c r="F156" s="70"/>
      <c r="G156" s="70"/>
      <c r="H156" s="70"/>
      <c r="I156" s="168"/>
    </row>
    <row r="157" spans="1:9" ht="14.25">
      <c r="A157" s="70"/>
      <c r="B157" s="155"/>
      <c r="C157" s="70"/>
      <c r="D157" s="70"/>
      <c r="E157" s="70"/>
      <c r="F157" s="70"/>
      <c r="G157" s="70"/>
      <c r="H157" s="70"/>
      <c r="I157" s="168"/>
    </row>
    <row r="158" spans="1:9" ht="14.25">
      <c r="A158" s="70"/>
      <c r="B158" s="155"/>
      <c r="C158" s="70"/>
      <c r="D158" s="70"/>
      <c r="E158" s="70"/>
      <c r="F158" s="70"/>
      <c r="G158" s="70"/>
      <c r="H158" s="70"/>
      <c r="I158" s="168"/>
    </row>
    <row r="159" spans="1:9" ht="14.25">
      <c r="A159" s="70"/>
      <c r="B159" s="155"/>
      <c r="C159" s="70"/>
      <c r="D159" s="70"/>
      <c r="E159" s="70"/>
      <c r="F159" s="70"/>
      <c r="G159" s="70"/>
      <c r="H159" s="70"/>
      <c r="I159" s="168"/>
    </row>
    <row r="160" spans="1:9" ht="14.25">
      <c r="A160" s="70"/>
      <c r="B160" s="155"/>
      <c r="C160" s="70"/>
      <c r="D160" s="70"/>
      <c r="E160" s="70"/>
      <c r="F160" s="70"/>
      <c r="G160" s="70"/>
      <c r="H160" s="70"/>
      <c r="I160" s="168"/>
    </row>
    <row r="161" spans="1:9" ht="14.25">
      <c r="A161" s="70"/>
      <c r="B161" s="155"/>
      <c r="C161" s="70"/>
      <c r="D161" s="70"/>
      <c r="E161" s="70"/>
      <c r="F161" s="70"/>
      <c r="G161" s="70"/>
      <c r="H161" s="70"/>
      <c r="I161" s="168"/>
    </row>
    <row r="162" spans="1:9" ht="14.25">
      <c r="A162" s="70"/>
      <c r="B162" s="155"/>
      <c r="C162" s="70"/>
      <c r="D162" s="70"/>
      <c r="E162" s="70"/>
      <c r="F162" s="70"/>
      <c r="G162" s="70"/>
      <c r="H162" s="70"/>
      <c r="I162" s="168"/>
    </row>
    <row r="163" spans="1:9" ht="14.25">
      <c r="A163" s="70"/>
      <c r="B163" s="155"/>
      <c r="C163" s="70"/>
      <c r="D163" s="70"/>
      <c r="E163" s="70"/>
      <c r="F163" s="70"/>
      <c r="G163" s="70"/>
      <c r="H163" s="70"/>
      <c r="I163" s="168"/>
    </row>
    <row r="164" spans="1:9" ht="14.25">
      <c r="A164" s="70"/>
      <c r="B164" s="155"/>
      <c r="C164" s="70"/>
      <c r="D164" s="70"/>
      <c r="E164" s="70"/>
      <c r="F164" s="70"/>
      <c r="G164" s="70"/>
      <c r="H164" s="70"/>
      <c r="I164" s="168"/>
    </row>
    <row r="165" spans="1:9" ht="14.25">
      <c r="A165" s="70"/>
      <c r="B165" s="155"/>
      <c r="C165" s="70"/>
      <c r="D165" s="70"/>
      <c r="E165" s="70"/>
      <c r="F165" s="70"/>
      <c r="G165" s="70"/>
      <c r="H165" s="70"/>
      <c r="I165" s="168"/>
    </row>
    <row r="166" spans="1:9" ht="14.25">
      <c r="A166" s="70"/>
      <c r="B166" s="155"/>
      <c r="C166" s="70"/>
      <c r="D166" s="70"/>
      <c r="E166" s="70"/>
      <c r="F166" s="70"/>
      <c r="G166" s="70"/>
      <c r="H166" s="70"/>
      <c r="I166" s="168"/>
    </row>
    <row r="167" spans="1:9" ht="14.25">
      <c r="A167" s="70"/>
      <c r="B167" s="155"/>
      <c r="C167" s="70"/>
      <c r="D167" s="70"/>
      <c r="E167" s="70"/>
      <c r="F167" s="70"/>
      <c r="G167" s="70"/>
      <c r="H167" s="70"/>
      <c r="I167" s="168"/>
    </row>
    <row r="168" spans="1:9" ht="14.25">
      <c r="A168" s="70"/>
      <c r="B168" s="155"/>
      <c r="C168" s="70"/>
      <c r="D168" s="70"/>
      <c r="E168" s="70"/>
      <c r="F168" s="70"/>
      <c r="G168" s="70"/>
      <c r="H168" s="70"/>
      <c r="I168" s="168"/>
    </row>
    <row r="169" spans="1:9" ht="14.25" customHeight="1">
      <c r="A169" s="210" t="s">
        <v>241</v>
      </c>
      <c r="B169" s="211"/>
      <c r="C169" s="211"/>
      <c r="D169" s="211"/>
      <c r="E169" s="212"/>
      <c r="F169" s="169">
        <f>SUM(F152:F168)</f>
        <v>240</v>
      </c>
      <c r="G169" s="70"/>
      <c r="H169" s="70"/>
      <c r="I169" s="168"/>
    </row>
    <row r="170" spans="1:9">
      <c r="A170" s="63"/>
      <c r="B170" s="63"/>
      <c r="C170" s="63"/>
      <c r="D170" s="63"/>
      <c r="E170" s="63"/>
      <c r="F170" s="63"/>
      <c r="G170" s="63"/>
      <c r="H170" s="63"/>
      <c r="I170" s="63"/>
    </row>
    <row r="171" spans="1:9" ht="14.25">
      <c r="A171" s="70">
        <v>1</v>
      </c>
      <c r="B171" s="150" t="s">
        <v>64</v>
      </c>
      <c r="C171" s="150"/>
      <c r="D171" s="73" t="s">
        <v>57</v>
      </c>
      <c r="E171" s="71" t="s">
        <v>580</v>
      </c>
      <c r="F171" s="50">
        <v>80</v>
      </c>
      <c r="G171" s="50"/>
      <c r="H171" s="70"/>
      <c r="I171" s="168"/>
    </row>
    <row r="172" spans="1:9" ht="14.25">
      <c r="A172" s="70">
        <v>2</v>
      </c>
      <c r="B172" s="150" t="s">
        <v>64</v>
      </c>
      <c r="C172" s="150"/>
      <c r="D172" s="71" t="s">
        <v>225</v>
      </c>
      <c r="E172" s="33" t="s">
        <v>353</v>
      </c>
      <c r="F172" s="50">
        <v>80</v>
      </c>
      <c r="G172" s="50"/>
      <c r="H172" s="33"/>
      <c r="I172" s="168"/>
    </row>
    <row r="173" spans="1:9" ht="14.25">
      <c r="A173" s="70">
        <v>3</v>
      </c>
      <c r="B173" s="150" t="s">
        <v>64</v>
      </c>
      <c r="C173" s="150"/>
      <c r="D173" s="71" t="s">
        <v>114</v>
      </c>
      <c r="E173" s="33" t="s">
        <v>314</v>
      </c>
      <c r="F173" s="50">
        <v>80</v>
      </c>
      <c r="G173" s="50"/>
      <c r="H173" s="33"/>
      <c r="I173" s="168"/>
    </row>
    <row r="174" spans="1:9" ht="14.25">
      <c r="A174" s="70">
        <v>4</v>
      </c>
      <c r="B174" s="150" t="s">
        <v>64</v>
      </c>
      <c r="C174" s="150"/>
      <c r="D174" s="73" t="s">
        <v>236</v>
      </c>
      <c r="E174" s="33" t="s">
        <v>449</v>
      </c>
      <c r="F174" s="50">
        <v>80</v>
      </c>
      <c r="G174" s="50"/>
      <c r="H174" s="33"/>
      <c r="I174" s="168"/>
    </row>
    <row r="175" spans="1:9">
      <c r="A175" s="70">
        <v>5</v>
      </c>
      <c r="B175" s="153" t="s">
        <v>64</v>
      </c>
      <c r="C175" s="153"/>
      <c r="D175" s="73" t="s">
        <v>79</v>
      </c>
      <c r="E175" s="71" t="s">
        <v>80</v>
      </c>
      <c r="F175" s="50">
        <v>80</v>
      </c>
      <c r="G175" s="50"/>
      <c r="H175" s="33"/>
      <c r="I175" s="168"/>
    </row>
    <row r="176" spans="1:9">
      <c r="A176" s="70">
        <v>6</v>
      </c>
      <c r="B176" s="156" t="s">
        <v>739</v>
      </c>
      <c r="C176" s="170" t="s">
        <v>980</v>
      </c>
      <c r="D176" s="73" t="s">
        <v>230</v>
      </c>
      <c r="E176" s="71" t="s">
        <v>231</v>
      </c>
      <c r="F176" s="50">
        <v>80</v>
      </c>
      <c r="G176" s="50"/>
      <c r="H176" s="33"/>
      <c r="I176" s="108" t="s">
        <v>360</v>
      </c>
    </row>
    <row r="177" spans="1:9">
      <c r="A177" s="70"/>
      <c r="B177" s="152"/>
      <c r="C177" s="70"/>
      <c r="D177" s="70"/>
      <c r="E177" s="70"/>
      <c r="F177" s="70"/>
      <c r="G177" s="70"/>
      <c r="H177" s="70"/>
      <c r="I177" s="168"/>
    </row>
    <row r="178" spans="1:9">
      <c r="A178" s="70"/>
      <c r="B178" s="152"/>
      <c r="C178" s="70"/>
      <c r="D178" s="70"/>
      <c r="E178" s="70"/>
      <c r="F178" s="70"/>
      <c r="G178" s="70"/>
      <c r="H178" s="70"/>
      <c r="I178" s="168"/>
    </row>
    <row r="179" spans="1:9">
      <c r="A179" s="70"/>
      <c r="B179" s="152"/>
      <c r="C179" s="70"/>
      <c r="D179" s="70"/>
      <c r="E179" s="70"/>
      <c r="F179" s="70"/>
      <c r="G179" s="70"/>
      <c r="H179" s="70"/>
      <c r="I179" s="168"/>
    </row>
    <row r="180" spans="1:9">
      <c r="A180" s="70"/>
      <c r="B180" s="152"/>
      <c r="C180" s="70"/>
      <c r="D180" s="70"/>
      <c r="E180" s="70"/>
      <c r="F180" s="70"/>
      <c r="G180" s="70"/>
      <c r="H180" s="70"/>
      <c r="I180" s="168"/>
    </row>
    <row r="181" spans="1:9">
      <c r="A181" s="70"/>
      <c r="B181" s="152"/>
      <c r="C181" s="70"/>
      <c r="D181" s="70"/>
      <c r="E181" s="70"/>
      <c r="F181" s="70"/>
      <c r="G181" s="70"/>
      <c r="H181" s="70"/>
      <c r="I181" s="168"/>
    </row>
    <row r="182" spans="1:9">
      <c r="A182" s="70"/>
      <c r="B182" s="152"/>
      <c r="C182" s="70"/>
      <c r="D182" s="70"/>
      <c r="E182" s="70"/>
      <c r="F182" s="70"/>
      <c r="G182" s="70"/>
      <c r="H182" s="70"/>
      <c r="I182" s="168"/>
    </row>
    <row r="183" spans="1:9">
      <c r="A183" s="70"/>
      <c r="B183" s="152"/>
      <c r="C183" s="70"/>
      <c r="D183" s="70"/>
      <c r="E183" s="70"/>
      <c r="F183" s="70"/>
      <c r="G183" s="70"/>
      <c r="H183" s="70"/>
      <c r="I183" s="168"/>
    </row>
    <row r="184" spans="1:9">
      <c r="A184" s="70"/>
      <c r="B184" s="152"/>
      <c r="C184" s="70"/>
      <c r="D184" s="70"/>
      <c r="E184" s="70"/>
      <c r="F184" s="70"/>
      <c r="G184" s="70"/>
      <c r="H184" s="70"/>
      <c r="I184" s="168"/>
    </row>
    <row r="185" spans="1:9">
      <c r="A185" s="70"/>
      <c r="B185" s="152"/>
      <c r="C185" s="70"/>
      <c r="D185" s="70"/>
      <c r="E185" s="70"/>
      <c r="F185" s="70"/>
      <c r="G185" s="70"/>
      <c r="H185" s="70"/>
      <c r="I185" s="168"/>
    </row>
    <row r="186" spans="1:9">
      <c r="A186" s="70"/>
      <c r="B186" s="152"/>
      <c r="C186" s="70"/>
      <c r="D186" s="70"/>
      <c r="E186" s="70"/>
      <c r="F186" s="70"/>
      <c r="G186" s="70"/>
      <c r="H186" s="70"/>
      <c r="I186" s="168"/>
    </row>
    <row r="187" spans="1:9">
      <c r="A187" s="70"/>
      <c r="B187" s="152"/>
      <c r="C187" s="70"/>
      <c r="D187" s="70"/>
      <c r="E187" s="70"/>
      <c r="F187" s="70"/>
      <c r="G187" s="70"/>
      <c r="H187" s="70"/>
      <c r="I187" s="168"/>
    </row>
    <row r="188" spans="1:9">
      <c r="A188" s="70"/>
      <c r="B188" s="152"/>
      <c r="C188" s="70"/>
      <c r="D188" s="70"/>
      <c r="E188" s="70"/>
      <c r="F188" s="70"/>
      <c r="G188" s="70"/>
      <c r="H188" s="70"/>
      <c r="I188" s="168"/>
    </row>
    <row r="189" spans="1:9">
      <c r="A189" s="70"/>
      <c r="B189" s="152"/>
      <c r="C189" s="70"/>
      <c r="D189" s="70"/>
      <c r="E189" s="70"/>
      <c r="F189" s="70"/>
      <c r="G189" s="70"/>
      <c r="H189" s="70"/>
      <c r="I189" s="168"/>
    </row>
    <row r="190" spans="1:9">
      <c r="A190" s="70"/>
      <c r="B190" s="152"/>
      <c r="C190" s="70"/>
      <c r="D190" s="70"/>
      <c r="E190" s="70"/>
      <c r="F190" s="70"/>
      <c r="G190" s="70"/>
      <c r="H190" s="70"/>
      <c r="I190" s="168"/>
    </row>
    <row r="191" spans="1:9">
      <c r="A191" s="70"/>
      <c r="B191" s="152"/>
      <c r="C191" s="70"/>
      <c r="D191" s="70"/>
      <c r="E191" s="70"/>
      <c r="F191" s="70"/>
      <c r="G191" s="70"/>
      <c r="H191" s="70"/>
      <c r="I191" s="168"/>
    </row>
    <row r="192" spans="1:9">
      <c r="A192" s="70"/>
      <c r="B192" s="152"/>
      <c r="C192" s="70"/>
      <c r="D192" s="70"/>
      <c r="E192" s="70"/>
      <c r="F192" s="70"/>
      <c r="G192" s="70"/>
      <c r="H192" s="70"/>
      <c r="I192" s="168"/>
    </row>
    <row r="193" spans="1:9">
      <c r="A193" s="70"/>
      <c r="B193" s="152"/>
      <c r="C193" s="70"/>
      <c r="D193" s="70"/>
      <c r="E193" s="70"/>
      <c r="F193" s="70"/>
      <c r="G193" s="70"/>
      <c r="H193" s="70"/>
      <c r="I193" s="168"/>
    </row>
    <row r="194" spans="1:9">
      <c r="A194" s="70"/>
      <c r="B194" s="152"/>
      <c r="C194" s="70"/>
      <c r="D194" s="70"/>
      <c r="E194" s="70"/>
      <c r="F194" s="70"/>
      <c r="G194" s="70"/>
      <c r="H194" s="70"/>
      <c r="I194" s="168"/>
    </row>
    <row r="195" spans="1:9">
      <c r="A195" s="70"/>
      <c r="B195" s="152"/>
      <c r="C195" s="70"/>
      <c r="D195" s="70"/>
      <c r="E195" s="70"/>
      <c r="F195" s="70"/>
      <c r="G195" s="70"/>
      <c r="H195" s="70"/>
      <c r="I195" s="168"/>
    </row>
    <row r="196" spans="1:9">
      <c r="A196" s="70"/>
      <c r="B196" s="152"/>
      <c r="C196" s="70"/>
      <c r="D196" s="70"/>
      <c r="E196" s="70"/>
      <c r="F196" s="70"/>
      <c r="G196" s="70"/>
      <c r="H196" s="70"/>
      <c r="I196" s="168"/>
    </row>
    <row r="197" spans="1:9">
      <c r="A197" s="70"/>
      <c r="B197" s="152"/>
      <c r="C197" s="70"/>
      <c r="D197" s="70"/>
      <c r="E197" s="70"/>
      <c r="F197" s="70"/>
      <c r="G197" s="70"/>
      <c r="H197" s="70"/>
      <c r="I197" s="168"/>
    </row>
    <row r="198" spans="1:9">
      <c r="A198" s="70"/>
      <c r="B198" s="152"/>
      <c r="C198" s="70"/>
      <c r="D198" s="70"/>
      <c r="E198" s="70"/>
      <c r="F198" s="70"/>
      <c r="G198" s="70"/>
      <c r="H198" s="70"/>
      <c r="I198" s="168"/>
    </row>
    <row r="199" spans="1:9">
      <c r="A199" s="70"/>
      <c r="B199" s="152"/>
      <c r="C199" s="70"/>
      <c r="D199" s="70"/>
      <c r="E199" s="70"/>
      <c r="F199" s="70"/>
      <c r="G199" s="70"/>
      <c r="H199" s="70"/>
      <c r="I199" s="168"/>
    </row>
    <row r="200" spans="1:9">
      <c r="A200" s="70"/>
      <c r="B200" s="152"/>
      <c r="C200" s="70"/>
      <c r="D200" s="70"/>
      <c r="E200" s="70"/>
      <c r="F200" s="70"/>
      <c r="G200" s="70"/>
      <c r="H200" s="70"/>
      <c r="I200" s="168"/>
    </row>
    <row r="201" spans="1:9">
      <c r="A201" s="70"/>
      <c r="B201" s="152"/>
      <c r="C201" s="70"/>
      <c r="D201" s="70"/>
      <c r="E201" s="70"/>
      <c r="F201" s="70"/>
      <c r="G201" s="70"/>
      <c r="H201" s="70"/>
      <c r="I201" s="168"/>
    </row>
    <row r="202" spans="1:9">
      <c r="A202" s="70"/>
      <c r="B202" s="152"/>
      <c r="C202" s="70"/>
      <c r="D202" s="70"/>
      <c r="E202" s="70"/>
      <c r="F202" s="70"/>
      <c r="G202" s="70"/>
      <c r="H202" s="70"/>
      <c r="I202" s="168"/>
    </row>
    <row r="203" spans="1:9">
      <c r="A203" s="70"/>
      <c r="B203" s="152"/>
      <c r="C203" s="70"/>
      <c r="D203" s="70"/>
      <c r="E203" s="70"/>
      <c r="F203" s="70"/>
      <c r="G203" s="70"/>
      <c r="H203" s="70"/>
      <c r="I203" s="168"/>
    </row>
    <row r="204" spans="1:9">
      <c r="A204" s="70"/>
      <c r="B204" s="152"/>
      <c r="C204" s="70"/>
      <c r="D204" s="70"/>
      <c r="E204" s="70"/>
      <c r="F204" s="70"/>
      <c r="G204" s="70"/>
      <c r="H204" s="70"/>
      <c r="I204" s="168"/>
    </row>
    <row r="205" spans="1:9">
      <c r="A205" s="70"/>
      <c r="B205" s="152"/>
      <c r="C205" s="70"/>
      <c r="D205" s="70"/>
      <c r="E205" s="70"/>
      <c r="F205" s="70"/>
      <c r="G205" s="70"/>
      <c r="H205" s="70"/>
      <c r="I205" s="168"/>
    </row>
    <row r="206" spans="1:9">
      <c r="A206" s="70"/>
      <c r="B206" s="152"/>
      <c r="C206" s="70"/>
      <c r="D206" s="70"/>
      <c r="E206" s="70"/>
      <c r="F206" s="70"/>
      <c r="G206" s="70"/>
      <c r="H206" s="70"/>
      <c r="I206" s="168"/>
    </row>
    <row r="207" spans="1:9">
      <c r="A207" s="70"/>
      <c r="B207" s="152"/>
      <c r="C207" s="70"/>
      <c r="D207" s="70"/>
      <c r="E207" s="70"/>
      <c r="F207" s="70"/>
      <c r="G207" s="70"/>
      <c r="H207" s="70"/>
      <c r="I207" s="168"/>
    </row>
    <row r="208" spans="1:9">
      <c r="A208" s="210" t="s">
        <v>241</v>
      </c>
      <c r="B208" s="211"/>
      <c r="C208" s="211"/>
      <c r="D208" s="211"/>
      <c r="E208" s="212"/>
      <c r="F208" s="169">
        <f>SUM(F171:F207)</f>
        <v>480</v>
      </c>
      <c r="G208" s="70"/>
      <c r="H208" s="70"/>
      <c r="I208" s="168"/>
    </row>
    <row r="209" spans="1:9" ht="20.25" customHeight="1">
      <c r="A209" s="224" t="s">
        <v>1687</v>
      </c>
      <c r="B209" s="225"/>
      <c r="C209" s="225"/>
      <c r="D209" s="225"/>
      <c r="E209" s="226"/>
      <c r="F209" s="195">
        <f>SUM(F208,F169,F150)</f>
        <v>12160</v>
      </c>
      <c r="G209" s="193"/>
      <c r="H209" s="193"/>
      <c r="I209" s="194"/>
    </row>
  </sheetData>
  <mergeCells count="5">
    <mergeCell ref="A1:I1"/>
    <mergeCell ref="A150:E150"/>
    <mergeCell ref="A169:E169"/>
    <mergeCell ref="A208:E208"/>
    <mergeCell ref="A209:E209"/>
  </mergeCells>
  <phoneticPr fontId="14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J536"/>
  <sheetViews>
    <sheetView workbookViewId="0">
      <pane xSplit="3" ySplit="2" topLeftCell="D297" activePane="bottomRight" state="frozenSplit"/>
      <selection pane="topRight" activeCell="F1" sqref="F1"/>
      <selection pane="bottomLeft" activeCell="A9" sqref="A9"/>
      <selection pane="bottomRight" activeCell="E306" sqref="E306"/>
    </sheetView>
  </sheetViews>
  <sheetFormatPr defaultRowHeight="18" customHeight="1"/>
  <cols>
    <col min="1" max="1" width="5.25" style="58" customWidth="1"/>
    <col min="2" max="2" width="6.125" style="58" customWidth="1"/>
    <col min="3" max="3" width="10.625" style="58" customWidth="1"/>
    <col min="4" max="4" width="11.25" style="91" customWidth="1"/>
    <col min="5" max="5" width="25.625" style="58" customWidth="1"/>
    <col min="6" max="6" width="16.625" style="58" customWidth="1"/>
    <col min="7" max="7" width="13" style="146" customWidth="1"/>
    <col min="8" max="8" width="21.125" style="106" customWidth="1"/>
    <col min="9" max="9" width="13.125" style="91" customWidth="1"/>
    <col min="10" max="10" width="18.5" style="106" customWidth="1"/>
    <col min="11" max="11" width="12" style="3" customWidth="1"/>
    <col min="12" max="12" width="14.5" style="3" customWidth="1"/>
    <col min="13" max="13" width="14.875" style="2" customWidth="1"/>
    <col min="14" max="14" width="14.25" style="2" customWidth="1"/>
    <col min="15" max="15" width="16.375" style="2" customWidth="1"/>
    <col min="16" max="16" width="10.125" style="2" customWidth="1"/>
    <col min="17" max="17" width="9" style="2"/>
    <col min="18" max="18" width="10.875" style="2" customWidth="1"/>
    <col min="19" max="24" width="9" style="2"/>
    <col min="25" max="25" width="10.5" style="2" bestFit="1" customWidth="1"/>
    <col min="26" max="26" width="10.375" style="2" customWidth="1"/>
    <col min="27" max="29" width="10.5" style="2" bestFit="1" customWidth="1"/>
    <col min="30" max="30" width="10.5" style="32" bestFit="1" customWidth="1"/>
    <col min="31" max="33" width="10.5" style="2" bestFit="1" customWidth="1"/>
    <col min="34" max="35" width="9.625" style="2" bestFit="1" customWidth="1"/>
    <col min="36" max="39" width="10.5" style="2" bestFit="1" customWidth="1"/>
    <col min="40" max="63" width="8.875" style="2" customWidth="1"/>
    <col min="64" max="64" width="4.875" style="37" customWidth="1"/>
    <col min="65" max="78" width="9" style="2"/>
    <col min="79" max="81" width="9" style="32"/>
    <col min="82" max="88" width="9" style="2"/>
    <col min="89" max="92" width="9" style="32"/>
    <col min="93" max="101" width="9" style="2"/>
    <col min="102" max="102" width="3" style="37" customWidth="1"/>
    <col min="103" max="122" width="9" style="2"/>
    <col min="123" max="127" width="10.75" style="2" customWidth="1"/>
    <col min="128" max="133" width="9" style="2"/>
    <col min="134" max="134" width="9" style="32"/>
    <col min="135" max="135" width="9" style="2"/>
    <col min="136" max="139" width="7.125" style="2" customWidth="1"/>
    <col min="140" max="140" width="1.75" style="2" customWidth="1"/>
    <col min="141" max="16384" width="9" style="2"/>
  </cols>
  <sheetData>
    <row r="1" spans="1:140" ht="33.75" customHeight="1">
      <c r="A1" s="227" t="s">
        <v>1001</v>
      </c>
      <c r="B1" s="227"/>
      <c r="C1" s="227"/>
      <c r="D1" s="227"/>
      <c r="E1" s="227"/>
      <c r="F1" s="227"/>
      <c r="G1" s="227"/>
      <c r="H1" s="227"/>
      <c r="I1" s="227"/>
      <c r="O1" s="204" t="s">
        <v>1002</v>
      </c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M1" s="204" t="s">
        <v>1003</v>
      </c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173"/>
      <c r="CF1" s="173"/>
      <c r="CG1" s="173"/>
      <c r="CH1" s="173"/>
      <c r="CI1" s="173"/>
      <c r="CJ1" s="173"/>
      <c r="CK1" s="174"/>
      <c r="CL1" s="174"/>
      <c r="CM1" s="174"/>
      <c r="CN1" s="174"/>
      <c r="CO1" s="173"/>
      <c r="CP1" s="173"/>
      <c r="CQ1" s="173"/>
      <c r="CR1" s="173"/>
      <c r="CS1" s="173"/>
      <c r="CT1" s="173"/>
      <c r="CU1" s="173"/>
      <c r="CV1" s="173"/>
      <c r="CW1" s="173"/>
      <c r="CY1" s="204" t="s">
        <v>1004</v>
      </c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4"/>
      <c r="EE1" s="173"/>
      <c r="EF1" s="173"/>
      <c r="EG1" s="173"/>
      <c r="EH1" s="173"/>
      <c r="EI1" s="173"/>
    </row>
    <row r="2" spans="1:140" s="57" customFormat="1" ht="18" customHeight="1">
      <c r="A2" s="55" t="s">
        <v>1005</v>
      </c>
      <c r="B2" s="55" t="s">
        <v>1006</v>
      </c>
      <c r="C2" s="55" t="s">
        <v>1007</v>
      </c>
      <c r="D2" s="87" t="s">
        <v>1008</v>
      </c>
      <c r="E2" s="55" t="s">
        <v>1009</v>
      </c>
      <c r="F2" s="55" t="s">
        <v>1010</v>
      </c>
      <c r="G2" s="137" t="s">
        <v>1011</v>
      </c>
      <c r="H2" s="104" t="s">
        <v>1012</v>
      </c>
      <c r="I2" s="87" t="s">
        <v>1013</v>
      </c>
      <c r="J2" s="104" t="s">
        <v>1014</v>
      </c>
      <c r="K2" s="87" t="s">
        <v>1015</v>
      </c>
      <c r="L2" s="87" t="s">
        <v>1016</v>
      </c>
      <c r="M2" s="55" t="s">
        <v>1017</v>
      </c>
      <c r="N2" s="55" t="s">
        <v>1018</v>
      </c>
      <c r="O2" s="92" t="s">
        <v>1019</v>
      </c>
      <c r="P2" s="92" t="s">
        <v>1020</v>
      </c>
      <c r="Q2" s="92" t="s">
        <v>1021</v>
      </c>
      <c r="R2" s="92" t="s">
        <v>1022</v>
      </c>
      <c r="S2" s="92" t="s">
        <v>1023</v>
      </c>
      <c r="T2" s="92" t="s">
        <v>1024</v>
      </c>
      <c r="U2" s="92" t="s">
        <v>1025</v>
      </c>
      <c r="V2" s="92" t="s">
        <v>1026</v>
      </c>
      <c r="W2" s="92" t="s">
        <v>1027</v>
      </c>
      <c r="X2" s="92" t="s">
        <v>1028</v>
      </c>
      <c r="Y2" s="92" t="s">
        <v>1029</v>
      </c>
      <c r="Z2" s="93" t="s">
        <v>1030</v>
      </c>
      <c r="AA2" s="92" t="s">
        <v>1031</v>
      </c>
      <c r="AB2" s="92" t="s">
        <v>1032</v>
      </c>
      <c r="AC2" s="92" t="s">
        <v>1033</v>
      </c>
      <c r="AD2" s="93" t="s">
        <v>1034</v>
      </c>
      <c r="AE2" s="92" t="s">
        <v>1035</v>
      </c>
      <c r="AF2" s="92" t="s">
        <v>1036</v>
      </c>
      <c r="AG2" s="92" t="s">
        <v>1037</v>
      </c>
      <c r="AH2" s="92" t="s">
        <v>1038</v>
      </c>
      <c r="AI2" s="92" t="s">
        <v>1039</v>
      </c>
      <c r="AJ2" s="92" t="s">
        <v>1040</v>
      </c>
      <c r="AK2" s="92" t="s">
        <v>1041</v>
      </c>
      <c r="AL2" s="92" t="s">
        <v>1042</v>
      </c>
      <c r="AM2" s="92" t="s">
        <v>1043</v>
      </c>
      <c r="AN2" s="92" t="s">
        <v>1044</v>
      </c>
      <c r="AO2" s="92" t="s">
        <v>1045</v>
      </c>
      <c r="AP2" s="92" t="s">
        <v>1046</v>
      </c>
      <c r="AQ2" s="92" t="s">
        <v>1047</v>
      </c>
      <c r="AR2" s="92" t="s">
        <v>1048</v>
      </c>
      <c r="AS2" s="92" t="s">
        <v>1049</v>
      </c>
      <c r="AT2" s="92" t="s">
        <v>1050</v>
      </c>
      <c r="AU2" s="92" t="s">
        <v>1051</v>
      </c>
      <c r="AV2" s="92" t="s">
        <v>1052</v>
      </c>
      <c r="AW2" s="92" t="s">
        <v>1053</v>
      </c>
      <c r="AX2" s="92" t="s">
        <v>1054</v>
      </c>
      <c r="AY2" s="92" t="s">
        <v>1055</v>
      </c>
      <c r="AZ2" s="92" t="s">
        <v>1056</v>
      </c>
      <c r="BA2" s="92" t="s">
        <v>220</v>
      </c>
      <c r="BB2" s="92" t="s">
        <v>221</v>
      </c>
      <c r="BC2" s="92" t="s">
        <v>222</v>
      </c>
      <c r="BD2" s="92" t="s">
        <v>1057</v>
      </c>
      <c r="BE2" s="92" t="s">
        <v>1058</v>
      </c>
      <c r="BF2" s="92" t="s">
        <v>303</v>
      </c>
      <c r="BG2" s="92" t="s">
        <v>304</v>
      </c>
      <c r="BH2" s="92" t="s">
        <v>305</v>
      </c>
      <c r="BI2" s="92" t="s">
        <v>306</v>
      </c>
      <c r="BJ2" s="92" t="s">
        <v>307</v>
      </c>
      <c r="BK2" s="92" t="s">
        <v>308</v>
      </c>
      <c r="BL2" s="94"/>
      <c r="BM2" s="92" t="s">
        <v>1019</v>
      </c>
      <c r="BN2" s="92" t="s">
        <v>1020</v>
      </c>
      <c r="BO2" s="92" t="s">
        <v>1021</v>
      </c>
      <c r="BP2" s="92" t="s">
        <v>1022</v>
      </c>
      <c r="BQ2" s="92" t="s">
        <v>1023</v>
      </c>
      <c r="BR2" s="92" t="s">
        <v>1024</v>
      </c>
      <c r="BS2" s="92" t="s">
        <v>1025</v>
      </c>
      <c r="BT2" s="92" t="s">
        <v>1026</v>
      </c>
      <c r="BU2" s="92" t="s">
        <v>1027</v>
      </c>
      <c r="BV2" s="92" t="s">
        <v>1059</v>
      </c>
      <c r="BW2" s="92" t="s">
        <v>1029</v>
      </c>
      <c r="BX2" s="175" t="s">
        <v>1030</v>
      </c>
      <c r="BY2" s="92" t="s">
        <v>1031</v>
      </c>
      <c r="BZ2" s="92" t="s">
        <v>1032</v>
      </c>
      <c r="CA2" s="93" t="s">
        <v>1033</v>
      </c>
      <c r="CB2" s="93" t="s">
        <v>1034</v>
      </c>
      <c r="CC2" s="93" t="s">
        <v>1035</v>
      </c>
      <c r="CD2" s="92" t="s">
        <v>1036</v>
      </c>
      <c r="CE2" s="92" t="s">
        <v>1037</v>
      </c>
      <c r="CF2" s="92" t="s">
        <v>1038</v>
      </c>
      <c r="CG2" s="92" t="s">
        <v>1039</v>
      </c>
      <c r="CH2" s="92" t="s">
        <v>1040</v>
      </c>
      <c r="CI2" s="92" t="s">
        <v>1041</v>
      </c>
      <c r="CJ2" s="92" t="s">
        <v>1042</v>
      </c>
      <c r="CK2" s="93" t="s">
        <v>1043</v>
      </c>
      <c r="CL2" s="93" t="s">
        <v>1044</v>
      </c>
      <c r="CM2" s="93" t="s">
        <v>1045</v>
      </c>
      <c r="CN2" s="93" t="s">
        <v>1060</v>
      </c>
      <c r="CO2" s="92" t="s">
        <v>1061</v>
      </c>
      <c r="CP2" s="92" t="s">
        <v>1048</v>
      </c>
      <c r="CQ2" s="92" t="s">
        <v>1062</v>
      </c>
      <c r="CR2" s="92" t="s">
        <v>1063</v>
      </c>
      <c r="CS2" s="92" t="s">
        <v>1064</v>
      </c>
      <c r="CT2" s="92" t="s">
        <v>1065</v>
      </c>
      <c r="CU2" s="92" t="s">
        <v>1066</v>
      </c>
      <c r="CV2" s="92" t="s">
        <v>1067</v>
      </c>
      <c r="CW2" s="92" t="s">
        <v>1068</v>
      </c>
      <c r="CX2" s="176"/>
      <c r="CY2" s="92" t="s">
        <v>1019</v>
      </c>
      <c r="CZ2" s="92" t="s">
        <v>1020</v>
      </c>
      <c r="DA2" s="92" t="s">
        <v>1021</v>
      </c>
      <c r="DB2" s="92" t="s">
        <v>1022</v>
      </c>
      <c r="DC2" s="92" t="s">
        <v>1023</v>
      </c>
      <c r="DD2" s="92" t="s">
        <v>1024</v>
      </c>
      <c r="DE2" s="92" t="s">
        <v>1025</v>
      </c>
      <c r="DF2" s="92" t="s">
        <v>1026</v>
      </c>
      <c r="DG2" s="92" t="s">
        <v>1027</v>
      </c>
      <c r="DH2" s="92" t="s">
        <v>1028</v>
      </c>
      <c r="DI2" s="92" t="s">
        <v>1029</v>
      </c>
      <c r="DJ2" s="92" t="s">
        <v>1030</v>
      </c>
      <c r="DK2" s="92" t="s">
        <v>1031</v>
      </c>
      <c r="DL2" s="92" t="s">
        <v>1032</v>
      </c>
      <c r="DM2" s="92" t="s">
        <v>1033</v>
      </c>
      <c r="DN2" s="92" t="s">
        <v>1034</v>
      </c>
      <c r="DO2" s="92" t="s">
        <v>1035</v>
      </c>
      <c r="DP2" s="55">
        <v>2013.1</v>
      </c>
      <c r="DQ2" s="55">
        <v>2013.2</v>
      </c>
      <c r="DR2" s="55">
        <v>2013.3</v>
      </c>
      <c r="DS2" s="55">
        <v>2013.4</v>
      </c>
      <c r="DT2" s="55">
        <v>2013.5</v>
      </c>
      <c r="DU2" s="55">
        <v>2013.6</v>
      </c>
      <c r="DV2" s="55">
        <v>2013.7</v>
      </c>
      <c r="DW2" s="55">
        <v>2013.8</v>
      </c>
      <c r="DX2" s="55">
        <v>2013.9</v>
      </c>
      <c r="DY2" s="177">
        <v>2013.1</v>
      </c>
      <c r="DZ2" s="55">
        <v>2013.11</v>
      </c>
      <c r="EA2" s="55">
        <v>2013.12</v>
      </c>
      <c r="EB2" s="55">
        <v>2014.1</v>
      </c>
      <c r="EC2" s="55">
        <v>2014.2</v>
      </c>
      <c r="ED2" s="104">
        <v>2014.3</v>
      </c>
      <c r="EE2" s="55">
        <v>2014.4</v>
      </c>
      <c r="EF2" s="55">
        <v>2014.5</v>
      </c>
      <c r="EG2" s="55">
        <v>2014.6</v>
      </c>
      <c r="EH2" s="55">
        <v>2014.7</v>
      </c>
      <c r="EI2" s="55">
        <v>2014.8</v>
      </c>
      <c r="EJ2" s="95"/>
    </row>
    <row r="3" spans="1:140" ht="18" customHeight="1">
      <c r="A3" s="59">
        <v>1</v>
      </c>
      <c r="B3" s="59" t="s">
        <v>1069</v>
      </c>
      <c r="C3" s="52" t="s">
        <v>472</v>
      </c>
      <c r="D3" s="50">
        <f>1500+1000+300+300+600+600</f>
        <v>4300</v>
      </c>
      <c r="E3" s="79" t="s">
        <v>1070</v>
      </c>
      <c r="F3" s="59" t="s">
        <v>1071</v>
      </c>
      <c r="G3" s="138">
        <f>37800-8050-1575+10000+2000*6-2000*5+2500*6-105-1500+2500*6+2500*6</f>
        <v>83570</v>
      </c>
      <c r="H3" s="52" t="s">
        <v>1071</v>
      </c>
      <c r="I3" s="89">
        <f>7920-2100-532+1800+400*6-1800-75-80+400*6-400+400*6-45+400*6-105</f>
        <v>14183</v>
      </c>
      <c r="J3" s="52" t="s">
        <v>1072</v>
      </c>
      <c r="K3" s="8">
        <f>900+1800+200*6+400*6-200+400*6+400*6</f>
        <v>10900</v>
      </c>
      <c r="L3" s="8">
        <f t="shared" ref="L3:L66" si="0">D3+G3+I3+K3</f>
        <v>112953</v>
      </c>
      <c r="M3" s="8">
        <f>SUM(O3:EI3)</f>
        <v>108653</v>
      </c>
      <c r="N3" s="8">
        <f t="shared" ref="N3:N36" si="1">L3-M3</f>
        <v>4300</v>
      </c>
      <c r="O3" s="8">
        <v>3150</v>
      </c>
      <c r="P3" s="8">
        <v>3150</v>
      </c>
      <c r="Q3" s="8">
        <v>3150</v>
      </c>
      <c r="R3" s="8">
        <v>3150</v>
      </c>
      <c r="S3" s="8">
        <v>1575</v>
      </c>
      <c r="T3" s="8">
        <v>2000</v>
      </c>
      <c r="U3" s="8">
        <v>2000</v>
      </c>
      <c r="V3" s="8">
        <v>2000</v>
      </c>
      <c r="W3" s="8">
        <v>1000</v>
      </c>
      <c r="X3" s="8">
        <v>1000</v>
      </c>
      <c r="Y3" s="8">
        <v>2000</v>
      </c>
      <c r="Z3" s="8">
        <v>2000</v>
      </c>
      <c r="AA3" s="8">
        <v>2000</v>
      </c>
      <c r="AB3" s="8">
        <v>2000</v>
      </c>
      <c r="AC3" s="8">
        <v>2000</v>
      </c>
      <c r="AD3" s="29">
        <v>2000</v>
      </c>
      <c r="AE3" s="8">
        <v>2000</v>
      </c>
      <c r="AF3" s="8">
        <v>2000</v>
      </c>
      <c r="AG3" s="8">
        <f>2000-1500</f>
        <v>500</v>
      </c>
      <c r="AH3" s="8">
        <v>2500</v>
      </c>
      <c r="AI3" s="8">
        <v>2500</v>
      </c>
      <c r="AJ3" s="8">
        <v>2500</v>
      </c>
      <c r="AK3" s="8">
        <v>2500</v>
      </c>
      <c r="AL3" s="8">
        <v>2500</v>
      </c>
      <c r="AM3" s="8">
        <v>2500</v>
      </c>
      <c r="AN3" s="8">
        <v>2500</v>
      </c>
      <c r="AO3" s="8">
        <v>2500</v>
      </c>
      <c r="AP3" s="8">
        <v>2500</v>
      </c>
      <c r="AQ3" s="8">
        <v>2500</v>
      </c>
      <c r="AR3" s="8">
        <v>2500</v>
      </c>
      <c r="AS3" s="8">
        <v>2500</v>
      </c>
      <c r="AT3" s="8">
        <v>2500</v>
      </c>
      <c r="AU3" s="8">
        <v>2500</v>
      </c>
      <c r="AV3" s="8">
        <v>2500</v>
      </c>
      <c r="AW3" s="8">
        <v>2500</v>
      </c>
      <c r="AX3" s="8">
        <v>2500</v>
      </c>
      <c r="AY3" s="8">
        <v>2500</v>
      </c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38"/>
      <c r="BM3" s="8">
        <v>660</v>
      </c>
      <c r="BN3" s="8">
        <v>660</v>
      </c>
      <c r="BO3" s="8">
        <v>660</v>
      </c>
      <c r="BP3" s="8">
        <v>660</v>
      </c>
      <c r="BQ3" s="8">
        <v>128</v>
      </c>
      <c r="BR3" s="8">
        <v>360</v>
      </c>
      <c r="BS3" s="8">
        <v>360</v>
      </c>
      <c r="BT3" s="8">
        <v>360</v>
      </c>
      <c r="BU3" s="8">
        <v>180</v>
      </c>
      <c r="BV3" s="8">
        <f>180-75</f>
        <v>105</v>
      </c>
      <c r="BW3" s="8">
        <v>360</v>
      </c>
      <c r="BX3" s="8">
        <f>360-80</f>
        <v>280</v>
      </c>
      <c r="BY3" s="8">
        <v>360</v>
      </c>
      <c r="BZ3" s="8">
        <v>400</v>
      </c>
      <c r="CA3" s="29">
        <f>400-105</f>
        <v>295</v>
      </c>
      <c r="CB3" s="29">
        <v>400</v>
      </c>
      <c r="CC3" s="29">
        <v>400</v>
      </c>
      <c r="CD3" s="8">
        <v>400</v>
      </c>
      <c r="CE3" s="8">
        <f>400-400</f>
        <v>0</v>
      </c>
      <c r="CF3" s="8">
        <v>400</v>
      </c>
      <c r="CG3" s="8">
        <f>400-45</f>
        <v>355</v>
      </c>
      <c r="CH3" s="8">
        <v>400</v>
      </c>
      <c r="CI3" s="8">
        <v>400</v>
      </c>
      <c r="CJ3" s="8">
        <v>400</v>
      </c>
      <c r="CK3" s="29">
        <v>400</v>
      </c>
      <c r="CL3" s="29">
        <v>400</v>
      </c>
      <c r="CM3" s="29">
        <f>400-105</f>
        <v>295</v>
      </c>
      <c r="CN3" s="29">
        <v>400</v>
      </c>
      <c r="CO3" s="8">
        <v>400</v>
      </c>
      <c r="CP3" s="8">
        <v>400</v>
      </c>
      <c r="CQ3" s="8">
        <v>400</v>
      </c>
      <c r="CR3" s="8">
        <v>400</v>
      </c>
      <c r="CS3" s="8">
        <v>400</v>
      </c>
      <c r="CT3" s="8">
        <v>400</v>
      </c>
      <c r="CU3" s="8">
        <v>400</v>
      </c>
      <c r="CV3" s="8">
        <v>400</v>
      </c>
      <c r="CW3" s="8">
        <v>400</v>
      </c>
      <c r="CX3" s="178"/>
      <c r="CY3" s="8"/>
      <c r="CZ3" s="8"/>
      <c r="DA3" s="8"/>
      <c r="DB3" s="8">
        <v>300</v>
      </c>
      <c r="DC3" s="8">
        <v>300</v>
      </c>
      <c r="DD3" s="8">
        <v>300</v>
      </c>
      <c r="DE3" s="8">
        <v>300</v>
      </c>
      <c r="DF3" s="8">
        <v>300</v>
      </c>
      <c r="DG3" s="8">
        <v>150</v>
      </c>
      <c r="DH3" s="8">
        <v>150</v>
      </c>
      <c r="DI3" s="8">
        <v>300</v>
      </c>
      <c r="DJ3" s="8">
        <v>300</v>
      </c>
      <c r="DK3" s="8">
        <v>300</v>
      </c>
      <c r="DL3" s="179">
        <v>200</v>
      </c>
      <c r="DM3" s="179">
        <v>200</v>
      </c>
      <c r="DN3" s="179">
        <v>200</v>
      </c>
      <c r="DO3" s="179">
        <v>200</v>
      </c>
      <c r="DP3" s="179">
        <v>200</v>
      </c>
      <c r="DQ3" s="179">
        <f>200-200</f>
        <v>0</v>
      </c>
      <c r="DR3" s="8">
        <v>400</v>
      </c>
      <c r="DS3" s="8">
        <v>400</v>
      </c>
      <c r="DT3" s="8">
        <v>400</v>
      </c>
      <c r="DU3" s="8">
        <v>400</v>
      </c>
      <c r="DV3" s="8">
        <v>400</v>
      </c>
      <c r="DW3" s="8">
        <v>400</v>
      </c>
      <c r="DX3" s="8">
        <v>400</v>
      </c>
      <c r="DY3" s="8">
        <v>400</v>
      </c>
      <c r="DZ3" s="8">
        <v>400</v>
      </c>
      <c r="EA3" s="8">
        <v>400</v>
      </c>
      <c r="EB3" s="8">
        <v>400</v>
      </c>
      <c r="EC3" s="8">
        <v>400</v>
      </c>
      <c r="ED3" s="29">
        <v>400</v>
      </c>
      <c r="EE3" s="8">
        <v>400</v>
      </c>
      <c r="EF3" s="8">
        <v>400</v>
      </c>
      <c r="EG3" s="8">
        <v>400</v>
      </c>
      <c r="EH3" s="8">
        <v>400</v>
      </c>
      <c r="EI3" s="8">
        <v>400</v>
      </c>
      <c r="EJ3" s="23"/>
    </row>
    <row r="4" spans="1:140" ht="18" customHeight="1">
      <c r="A4" s="59">
        <v>2</v>
      </c>
      <c r="B4" s="59" t="s">
        <v>1069</v>
      </c>
      <c r="C4" s="50" t="s">
        <v>469</v>
      </c>
      <c r="D4" s="50">
        <f>1500+1000+300+300+600+600</f>
        <v>4300</v>
      </c>
      <c r="E4" s="79" t="s">
        <v>1073</v>
      </c>
      <c r="F4" s="59" t="s">
        <v>1071</v>
      </c>
      <c r="G4" s="138">
        <f>37800-8050-7150+31000-1700-1500-1500+2500*6-1250-1250-2000+2500*6-1250-1250-2000</f>
        <v>69900</v>
      </c>
      <c r="H4" s="52" t="s">
        <v>1071</v>
      </c>
      <c r="I4" s="89">
        <f>7920-2100-1413+400+400*2-105+400+400-400-400-180-45+400*6-400-45+400-45-195-60-120-255+400*5-400+400*6-60-225-105-180-400</f>
        <v>9987</v>
      </c>
      <c r="J4" s="52"/>
      <c r="K4" s="8"/>
      <c r="L4" s="8">
        <f>D4+G4+I4+K4</f>
        <v>84187</v>
      </c>
      <c r="M4" s="8">
        <f>SUM(O4:EI4)</f>
        <v>78727</v>
      </c>
      <c r="N4" s="8">
        <f>L4-M4</f>
        <v>5460</v>
      </c>
      <c r="O4" s="8">
        <v>3150</v>
      </c>
      <c r="P4" s="8">
        <v>3150</v>
      </c>
      <c r="Q4" s="8">
        <v>3150</v>
      </c>
      <c r="R4" s="8">
        <v>3150</v>
      </c>
      <c r="S4" s="8"/>
      <c r="T4" s="8">
        <v>2000</v>
      </c>
      <c r="U4" s="8">
        <v>2000</v>
      </c>
      <c r="V4" s="8">
        <v>2000</v>
      </c>
      <c r="W4" s="8"/>
      <c r="X4" s="8"/>
      <c r="Y4" s="8">
        <v>2000</v>
      </c>
      <c r="Z4" s="8">
        <v>2000</v>
      </c>
      <c r="AA4" s="8">
        <f>2000*0.15</f>
        <v>300</v>
      </c>
      <c r="AB4" s="8">
        <v>2000</v>
      </c>
      <c r="AC4" s="8">
        <f>2000-1500</f>
        <v>500</v>
      </c>
      <c r="AD4" s="29">
        <v>2000</v>
      </c>
      <c r="AE4" s="8">
        <v>2000</v>
      </c>
      <c r="AF4" s="8">
        <v>2000</v>
      </c>
      <c r="AG4" s="8">
        <f>2000-1500</f>
        <v>500</v>
      </c>
      <c r="AH4" s="8">
        <v>2500</v>
      </c>
      <c r="AI4" s="8">
        <f>2500/2</f>
        <v>1250</v>
      </c>
      <c r="AJ4" s="8">
        <v>2500</v>
      </c>
      <c r="AK4" s="8">
        <v>2500</v>
      </c>
      <c r="AL4" s="8">
        <f>2500/2</f>
        <v>1250</v>
      </c>
      <c r="AM4" s="8">
        <f>2500-2000</f>
        <v>500</v>
      </c>
      <c r="AN4" s="8">
        <v>2500</v>
      </c>
      <c r="AO4" s="8">
        <v>2500</v>
      </c>
      <c r="AP4" s="8">
        <f>2500/2</f>
        <v>1250</v>
      </c>
      <c r="AQ4" s="8">
        <v>2500</v>
      </c>
      <c r="AR4" s="8">
        <f>2500/2</f>
        <v>1250</v>
      </c>
      <c r="AS4" s="8">
        <f>2500-2000</f>
        <v>500</v>
      </c>
      <c r="AT4" s="8">
        <v>2500</v>
      </c>
      <c r="AU4" s="8">
        <v>2500</v>
      </c>
      <c r="AV4" s="8">
        <v>2500</v>
      </c>
      <c r="AW4" s="8">
        <v>2500</v>
      </c>
      <c r="AX4" s="8">
        <v>2500</v>
      </c>
      <c r="AY4" s="8">
        <v>2500</v>
      </c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38"/>
      <c r="BM4" s="8">
        <v>660</v>
      </c>
      <c r="BN4" s="8">
        <v>660</v>
      </c>
      <c r="BO4" s="8">
        <v>660</v>
      </c>
      <c r="BP4" s="8">
        <v>630</v>
      </c>
      <c r="BQ4" s="8"/>
      <c r="BR4" s="8">
        <v>357</v>
      </c>
      <c r="BS4" s="8">
        <v>360</v>
      </c>
      <c r="BT4" s="8">
        <v>360</v>
      </c>
      <c r="BU4" s="8"/>
      <c r="BV4" s="8"/>
      <c r="BW4" s="8">
        <f>360-180</f>
        <v>180</v>
      </c>
      <c r="BX4" s="8">
        <f>400-105</f>
        <v>295</v>
      </c>
      <c r="BY4" s="8">
        <f>400-400</f>
        <v>0</v>
      </c>
      <c r="BZ4" s="8">
        <f>400-45</f>
        <v>355</v>
      </c>
      <c r="CA4" s="29">
        <f>400-400</f>
        <v>0</v>
      </c>
      <c r="CB4" s="29">
        <v>400</v>
      </c>
      <c r="CC4" s="29">
        <f>400-45</f>
        <v>355</v>
      </c>
      <c r="CD4" s="29">
        <v>400</v>
      </c>
      <c r="CE4" s="29">
        <f>400-400</f>
        <v>0</v>
      </c>
      <c r="CF4" s="8">
        <f>400-45</f>
        <v>355</v>
      </c>
      <c r="CG4" s="8">
        <f>400-195</f>
        <v>205</v>
      </c>
      <c r="CH4" s="8">
        <f>400-60</f>
        <v>340</v>
      </c>
      <c r="CI4" s="8">
        <f>400-120</f>
        <v>280</v>
      </c>
      <c r="CJ4" s="8">
        <f>400-255</f>
        <v>145</v>
      </c>
      <c r="CK4" s="29">
        <f>400-400</f>
        <v>0</v>
      </c>
      <c r="CL4" s="29">
        <f>400-60</f>
        <v>340</v>
      </c>
      <c r="CM4" s="29">
        <v>400</v>
      </c>
      <c r="CN4" s="29">
        <f>400-225</f>
        <v>175</v>
      </c>
      <c r="CO4" s="29">
        <f>400-105</f>
        <v>295</v>
      </c>
      <c r="CP4" s="29">
        <f>400-180</f>
        <v>220</v>
      </c>
      <c r="CQ4" s="29">
        <f>400-400</f>
        <v>0</v>
      </c>
      <c r="CR4" s="29">
        <v>400</v>
      </c>
      <c r="CS4" s="29">
        <v>400</v>
      </c>
      <c r="CT4" s="29">
        <v>400</v>
      </c>
      <c r="CU4" s="29">
        <v>400</v>
      </c>
      <c r="CV4" s="29">
        <v>400</v>
      </c>
      <c r="CW4" s="29">
        <v>400</v>
      </c>
      <c r="CX4" s="17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179"/>
      <c r="DM4" s="179"/>
      <c r="DN4" s="179"/>
      <c r="DO4" s="179"/>
      <c r="DP4" s="179"/>
      <c r="DQ4" s="179"/>
      <c r="DR4" s="8"/>
      <c r="DS4" s="8"/>
      <c r="DT4" s="8"/>
      <c r="DU4" s="8"/>
      <c r="DV4" s="8"/>
      <c r="DW4" s="8"/>
      <c r="DX4" s="55"/>
      <c r="DY4" s="8"/>
      <c r="DZ4" s="8"/>
      <c r="EA4" s="8"/>
      <c r="EB4" s="8"/>
      <c r="EC4" s="8"/>
      <c r="ED4" s="29"/>
      <c r="EE4" s="8"/>
      <c r="EF4" s="8"/>
      <c r="EG4" s="8"/>
      <c r="EH4" s="8"/>
      <c r="EI4" s="8"/>
      <c r="EJ4" s="23"/>
    </row>
    <row r="5" spans="1:140" ht="18" customHeight="1">
      <c r="A5" s="59">
        <v>3</v>
      </c>
      <c r="B5" s="59" t="s">
        <v>1069</v>
      </c>
      <c r="C5" s="49" t="s">
        <v>1074</v>
      </c>
      <c r="D5" s="50">
        <f>1500+1000+300+300+600+400</f>
        <v>4100</v>
      </c>
      <c r="E5" s="79" t="s">
        <v>1075</v>
      </c>
      <c r="F5" s="59" t="s">
        <v>1076</v>
      </c>
      <c r="G5" s="138">
        <f>37800-8050-573-5463+2000*6-1000+2500*6-1000-1500+2500*6+2500*4-2000</f>
        <v>70214</v>
      </c>
      <c r="H5" s="52" t="s">
        <v>1077</v>
      </c>
      <c r="I5" s="89">
        <f>1980-120+1980-300-1167+2160+400-422+400+400-60+400*3-1000-150+400-90-180-400+400*5+400-75+400+400*2+400-45+400*4-105</f>
        <v>10406</v>
      </c>
      <c r="J5" s="52" t="s">
        <v>1078</v>
      </c>
      <c r="K5" s="8">
        <f>900-300+200*6+400*6-200-200-400*5</f>
        <v>1800</v>
      </c>
      <c r="L5" s="8">
        <f t="shared" si="0"/>
        <v>86520</v>
      </c>
      <c r="M5" s="8">
        <f>SUM(O5:EI5)</f>
        <v>82420</v>
      </c>
      <c r="N5" s="8">
        <f t="shared" si="1"/>
        <v>4100</v>
      </c>
      <c r="O5" s="8">
        <v>3150</v>
      </c>
      <c r="P5" s="8">
        <f>3150-573</f>
        <v>2577</v>
      </c>
      <c r="Q5" s="8">
        <v>3150</v>
      </c>
      <c r="R5" s="8">
        <f>3150-859</f>
        <v>2291</v>
      </c>
      <c r="S5" s="8"/>
      <c r="T5" s="8">
        <f>2000-364</f>
        <v>1636</v>
      </c>
      <c r="U5" s="8">
        <f>2000-1090</f>
        <v>910</v>
      </c>
      <c r="V5" s="8">
        <v>2000</v>
      </c>
      <c r="W5" s="8">
        <v>1000</v>
      </c>
      <c r="X5" s="8">
        <v>1000</v>
      </c>
      <c r="Y5" s="8">
        <v>1000</v>
      </c>
      <c r="Z5" s="8">
        <v>2000</v>
      </c>
      <c r="AA5" s="8">
        <v>2000</v>
      </c>
      <c r="AB5" s="8">
        <v>2000</v>
      </c>
      <c r="AC5" s="8">
        <f>2000-1000</f>
        <v>1000</v>
      </c>
      <c r="AD5" s="29">
        <v>2000</v>
      </c>
      <c r="AE5" s="8">
        <v>2000</v>
      </c>
      <c r="AF5" s="8">
        <f>2000/2</f>
        <v>1000</v>
      </c>
      <c r="AG5" s="8">
        <f>2000-1500</f>
        <v>500</v>
      </c>
      <c r="AH5" s="8">
        <v>2500</v>
      </c>
      <c r="AI5" s="8">
        <v>2500</v>
      </c>
      <c r="AJ5" s="8">
        <v>2500</v>
      </c>
      <c r="AK5" s="8">
        <v>2500</v>
      </c>
      <c r="AL5" s="8">
        <v>2500</v>
      </c>
      <c r="AM5" s="8">
        <v>2500</v>
      </c>
      <c r="AN5" s="8">
        <v>2500</v>
      </c>
      <c r="AO5" s="8">
        <v>2500</v>
      </c>
      <c r="AP5" s="8">
        <v>2500</v>
      </c>
      <c r="AQ5" s="8">
        <v>2500</v>
      </c>
      <c r="AR5" s="8">
        <v>2500</v>
      </c>
      <c r="AS5" s="8">
        <f>2500-2000</f>
        <v>500</v>
      </c>
      <c r="AT5" s="8">
        <v>2500</v>
      </c>
      <c r="AU5" s="8">
        <v>2500</v>
      </c>
      <c r="AV5" s="8">
        <v>2500</v>
      </c>
      <c r="AW5" s="8">
        <v>2500</v>
      </c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38"/>
      <c r="BM5" s="8">
        <v>660</v>
      </c>
      <c r="BN5" s="8">
        <f>660-120</f>
        <v>540</v>
      </c>
      <c r="BO5" s="8">
        <v>660</v>
      </c>
      <c r="BP5" s="8">
        <f>660-180</f>
        <v>480</v>
      </c>
      <c r="BQ5" s="8"/>
      <c r="BR5" s="8">
        <f>360</f>
        <v>360</v>
      </c>
      <c r="BS5" s="8">
        <f>360-327</f>
        <v>33</v>
      </c>
      <c r="BT5" s="8">
        <v>360</v>
      </c>
      <c r="BU5" s="8">
        <v>180</v>
      </c>
      <c r="BV5" s="8">
        <f>180-60</f>
        <v>120</v>
      </c>
      <c r="BW5" s="8">
        <f>360-234</f>
        <v>126</v>
      </c>
      <c r="BX5" s="8">
        <f>360-128</f>
        <v>232</v>
      </c>
      <c r="BY5" s="8">
        <f>360-60</f>
        <v>300</v>
      </c>
      <c r="BZ5" s="8">
        <v>400</v>
      </c>
      <c r="CA5" s="29">
        <f>400-150</f>
        <v>250</v>
      </c>
      <c r="CB5" s="29">
        <f>400-90</f>
        <v>310</v>
      </c>
      <c r="CC5" s="29">
        <v>400</v>
      </c>
      <c r="CD5" s="29">
        <f>400-180</f>
        <v>220</v>
      </c>
      <c r="CE5" s="29">
        <f>400-400</f>
        <v>0</v>
      </c>
      <c r="CF5" s="29">
        <v>400</v>
      </c>
      <c r="CG5" s="29">
        <v>400</v>
      </c>
      <c r="CH5" s="29">
        <v>400</v>
      </c>
      <c r="CI5" s="29">
        <f>400-75</f>
        <v>325</v>
      </c>
      <c r="CJ5" s="29">
        <v>400</v>
      </c>
      <c r="CK5" s="29">
        <v>400</v>
      </c>
      <c r="CL5" s="29">
        <v>400</v>
      </c>
      <c r="CM5" s="29">
        <v>400</v>
      </c>
      <c r="CN5" s="29">
        <f>400-45</f>
        <v>355</v>
      </c>
      <c r="CO5" s="29">
        <v>400</v>
      </c>
      <c r="CP5" s="29">
        <f>400-105</f>
        <v>295</v>
      </c>
      <c r="CQ5" s="92"/>
      <c r="CR5" s="29">
        <v>400</v>
      </c>
      <c r="CS5" s="29">
        <v>400</v>
      </c>
      <c r="CT5" s="29">
        <v>400</v>
      </c>
      <c r="CU5" s="29">
        <v>400</v>
      </c>
      <c r="CV5" s="92"/>
      <c r="CW5" s="92"/>
      <c r="CX5" s="178"/>
      <c r="CY5" s="8"/>
      <c r="CZ5" s="8"/>
      <c r="DA5" s="8"/>
      <c r="DB5" s="8">
        <v>300</v>
      </c>
      <c r="DC5" s="8"/>
      <c r="DD5" s="8">
        <v>300</v>
      </c>
      <c r="DE5" s="8"/>
      <c r="DF5" s="8"/>
      <c r="DG5" s="8"/>
      <c r="DH5" s="8"/>
      <c r="DI5" s="8"/>
      <c r="DJ5" s="8"/>
      <c r="DK5" s="8"/>
      <c r="DL5" s="179">
        <v>200</v>
      </c>
      <c r="DM5" s="179">
        <f>200-200</f>
        <v>0</v>
      </c>
      <c r="DN5" s="179">
        <v>200</v>
      </c>
      <c r="DO5" s="179">
        <v>200</v>
      </c>
      <c r="DP5" s="179">
        <v>200</v>
      </c>
      <c r="DQ5" s="179">
        <f>200-200</f>
        <v>0</v>
      </c>
      <c r="DR5" s="8">
        <v>400</v>
      </c>
      <c r="DS5" s="8">
        <f>400-400</f>
        <v>0</v>
      </c>
      <c r="DT5" s="8">
        <f>400-400</f>
        <v>0</v>
      </c>
      <c r="DU5" s="8">
        <f>400-400</f>
        <v>0</v>
      </c>
      <c r="DV5" s="8">
        <f>400-400</f>
        <v>0</v>
      </c>
      <c r="DW5" s="8">
        <f>400-400</f>
        <v>0</v>
      </c>
      <c r="DX5" s="55"/>
      <c r="DY5" s="8"/>
      <c r="DZ5" s="8"/>
      <c r="EA5" s="8"/>
      <c r="EB5" s="8"/>
      <c r="EC5" s="8"/>
      <c r="ED5" s="29"/>
      <c r="EE5" s="8"/>
      <c r="EF5" s="8"/>
      <c r="EG5" s="8"/>
      <c r="EH5" s="8"/>
      <c r="EI5" s="8"/>
      <c r="EJ5" s="23"/>
    </row>
    <row r="6" spans="1:140" ht="18" customHeight="1">
      <c r="A6" s="59">
        <v>4</v>
      </c>
      <c r="B6" s="59" t="s">
        <v>1069</v>
      </c>
      <c r="C6" s="50" t="s">
        <v>1079</v>
      </c>
      <c r="D6" s="50">
        <f>1500-900+1000+300*2+600+600</f>
        <v>3400</v>
      </c>
      <c r="E6" s="79" t="s">
        <v>1080</v>
      </c>
      <c r="F6" s="59" t="s">
        <v>1081</v>
      </c>
      <c r="G6" s="138">
        <f>38122.5-9205-3315+2000*6+2500*18*0.9-1000-1000-1500-1750-1125-1125</f>
        <v>70602.5</v>
      </c>
      <c r="H6" s="52" t="s">
        <v>1081</v>
      </c>
      <c r="I6" s="89">
        <f>3630-300-758+2160+400+400-15-224+400*4-1000-240+400*4-165-400+400*6-75-75-135-400+400*2+400*6-180-105</f>
        <v>11318</v>
      </c>
      <c r="J6" s="52"/>
      <c r="K6" s="8">
        <f>900-900</f>
        <v>0</v>
      </c>
      <c r="L6" s="8">
        <f t="shared" si="0"/>
        <v>85320.5</v>
      </c>
      <c r="M6" s="8">
        <f>SUM(O6:EI6)</f>
        <v>81920.5</v>
      </c>
      <c r="N6" s="8">
        <f t="shared" si="1"/>
        <v>3400</v>
      </c>
      <c r="O6" s="8">
        <v>1657.5</v>
      </c>
      <c r="P6" s="8">
        <v>3315</v>
      </c>
      <c r="Q6" s="8">
        <v>3315</v>
      </c>
      <c r="R6" s="8">
        <v>3315</v>
      </c>
      <c r="S6" s="8"/>
      <c r="T6" s="8">
        <v>2000</v>
      </c>
      <c r="U6" s="8">
        <v>2000</v>
      </c>
      <c r="V6" s="8">
        <v>2000</v>
      </c>
      <c r="W6" s="8">
        <v>1000</v>
      </c>
      <c r="X6" s="8">
        <v>1000</v>
      </c>
      <c r="Y6" s="8">
        <v>2000</v>
      </c>
      <c r="Z6" s="8">
        <f>2000-1000</f>
        <v>1000</v>
      </c>
      <c r="AA6" s="8">
        <f>2000-1000</f>
        <v>1000</v>
      </c>
      <c r="AB6" s="8">
        <v>2000</v>
      </c>
      <c r="AC6" s="8">
        <v>2000</v>
      </c>
      <c r="AD6" s="29">
        <v>2000</v>
      </c>
      <c r="AE6" s="8">
        <v>2000</v>
      </c>
      <c r="AF6" s="8">
        <f>2000/2</f>
        <v>1000</v>
      </c>
      <c r="AG6" s="8">
        <f>2000-1500</f>
        <v>500</v>
      </c>
      <c r="AH6" s="8">
        <v>2250</v>
      </c>
      <c r="AI6" s="8">
        <v>2250</v>
      </c>
      <c r="AJ6" s="8">
        <v>2250</v>
      </c>
      <c r="AK6" s="8">
        <v>2250</v>
      </c>
      <c r="AL6" s="8">
        <v>2250</v>
      </c>
      <c r="AM6" s="8">
        <f>2250-1750</f>
        <v>500</v>
      </c>
      <c r="AN6" s="8">
        <v>2250</v>
      </c>
      <c r="AO6" s="8">
        <v>2250</v>
      </c>
      <c r="AP6" s="8">
        <v>2250</v>
      </c>
      <c r="AQ6" s="8">
        <v>2250</v>
      </c>
      <c r="AR6" s="8">
        <f>2250/2</f>
        <v>1125</v>
      </c>
      <c r="AS6" s="8">
        <f>2250/2</f>
        <v>1125</v>
      </c>
      <c r="AT6" s="8">
        <v>2250</v>
      </c>
      <c r="AU6" s="8">
        <v>2250</v>
      </c>
      <c r="AV6" s="8">
        <v>2250</v>
      </c>
      <c r="AW6" s="8">
        <v>2250</v>
      </c>
      <c r="AX6" s="8">
        <v>2250</v>
      </c>
      <c r="AY6" s="8">
        <v>2250</v>
      </c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38"/>
      <c r="BM6" s="8">
        <v>330</v>
      </c>
      <c r="BN6" s="8">
        <v>660</v>
      </c>
      <c r="BO6" s="8">
        <v>660</v>
      </c>
      <c r="BP6" s="8">
        <v>660</v>
      </c>
      <c r="BQ6" s="8"/>
      <c r="BR6" s="8">
        <f>360-98</f>
        <v>262</v>
      </c>
      <c r="BS6" s="8">
        <v>360</v>
      </c>
      <c r="BT6" s="8">
        <v>360</v>
      </c>
      <c r="BU6" s="8">
        <v>180</v>
      </c>
      <c r="BV6" s="8">
        <f>180-15</f>
        <v>165</v>
      </c>
      <c r="BW6" s="8">
        <v>360</v>
      </c>
      <c r="BX6" s="8">
        <f>360-224</f>
        <v>136</v>
      </c>
      <c r="BY6" s="8">
        <f>360-240</f>
        <v>120</v>
      </c>
      <c r="BZ6" s="8">
        <v>400</v>
      </c>
      <c r="CA6" s="29">
        <f>400</f>
        <v>400</v>
      </c>
      <c r="CB6" s="29">
        <f>400</f>
        <v>400</v>
      </c>
      <c r="CC6" s="29">
        <f>400</f>
        <v>400</v>
      </c>
      <c r="CD6" s="8">
        <f>400-165</f>
        <v>235</v>
      </c>
      <c r="CE6" s="8">
        <f>400-400</f>
        <v>0</v>
      </c>
      <c r="CF6" s="8">
        <f>400</f>
        <v>400</v>
      </c>
      <c r="CG6" s="8">
        <f>400</f>
        <v>400</v>
      </c>
      <c r="CH6" s="8">
        <f>400-75</f>
        <v>325</v>
      </c>
      <c r="CI6" s="8">
        <f>400-75</f>
        <v>325</v>
      </c>
      <c r="CJ6" s="8">
        <f>400-135</f>
        <v>265</v>
      </c>
      <c r="CK6" s="29">
        <f>400-400</f>
        <v>0</v>
      </c>
      <c r="CL6" s="29">
        <f>400</f>
        <v>400</v>
      </c>
      <c r="CM6" s="29">
        <f>400</f>
        <v>400</v>
      </c>
      <c r="CN6" s="29">
        <f>400</f>
        <v>400</v>
      </c>
      <c r="CO6" s="8">
        <f>400</f>
        <v>400</v>
      </c>
      <c r="CP6" s="8">
        <f>400-180</f>
        <v>220</v>
      </c>
      <c r="CQ6" s="8">
        <f>400-105</f>
        <v>295</v>
      </c>
      <c r="CR6" s="8">
        <f>400</f>
        <v>400</v>
      </c>
      <c r="CS6" s="8">
        <f>400</f>
        <v>400</v>
      </c>
      <c r="CT6" s="8">
        <f>400</f>
        <v>400</v>
      </c>
      <c r="CU6" s="8">
        <f>400</f>
        <v>400</v>
      </c>
      <c r="CV6" s="8">
        <f>400</f>
        <v>400</v>
      </c>
      <c r="CW6" s="8">
        <f>400</f>
        <v>400</v>
      </c>
      <c r="CX6" s="17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179"/>
      <c r="DM6" s="179"/>
      <c r="DN6" s="179"/>
      <c r="DO6" s="179"/>
      <c r="DP6" s="179"/>
      <c r="DQ6" s="179"/>
      <c r="DR6" s="8"/>
      <c r="DS6" s="8"/>
      <c r="DT6" s="8"/>
      <c r="DU6" s="8"/>
      <c r="DV6" s="8"/>
      <c r="DW6" s="8"/>
      <c r="DX6" s="55"/>
      <c r="DY6" s="8"/>
      <c r="DZ6" s="8"/>
      <c r="EA6" s="8"/>
      <c r="EB6" s="8"/>
      <c r="EC6" s="8"/>
      <c r="ED6" s="29"/>
      <c r="EE6" s="8"/>
      <c r="EF6" s="8"/>
      <c r="EG6" s="8"/>
      <c r="EH6" s="8"/>
      <c r="EI6" s="8"/>
      <c r="EJ6" s="23"/>
    </row>
    <row r="7" spans="1:140" ht="18" customHeight="1">
      <c r="A7" s="59">
        <v>5</v>
      </c>
      <c r="B7" s="59" t="s">
        <v>1069</v>
      </c>
      <c r="C7" s="51" t="s">
        <v>475</v>
      </c>
      <c r="D7" s="50">
        <f>300+500+1000+300+300+600+600</f>
        <v>3600</v>
      </c>
      <c r="E7" s="79" t="s">
        <v>1082</v>
      </c>
      <c r="F7" s="59" t="s">
        <v>1083</v>
      </c>
      <c r="G7" s="138">
        <f>2000*6+2000*6+2500*6-1000-1500+2500*6-1250+2500*6-2000-1250-1250</f>
        <v>60750</v>
      </c>
      <c r="H7" s="52" t="s">
        <v>1084</v>
      </c>
      <c r="I7" s="89">
        <f>400*6+400*6-240-400+400*6-195+400*6-400-225-75-135-105</f>
        <v>7825</v>
      </c>
      <c r="J7" s="52"/>
      <c r="K7" s="8"/>
      <c r="L7" s="8">
        <f t="shared" si="0"/>
        <v>72175</v>
      </c>
      <c r="M7" s="8">
        <f t="shared" ref="M7:M12" si="2">SUM(O7:DS7)</f>
        <v>68575</v>
      </c>
      <c r="N7" s="8">
        <f t="shared" si="1"/>
        <v>3600</v>
      </c>
      <c r="O7" s="8"/>
      <c r="P7" s="8"/>
      <c r="Q7" s="8"/>
      <c r="R7" s="8"/>
      <c r="S7" s="8"/>
      <c r="T7" s="8"/>
      <c r="U7" s="8">
        <v>2000</v>
      </c>
      <c r="V7" s="8">
        <v>2000</v>
      </c>
      <c r="W7" s="8">
        <v>1000</v>
      </c>
      <c r="X7" s="8">
        <v>1000</v>
      </c>
      <c r="Y7" s="8">
        <v>2000</v>
      </c>
      <c r="Z7" s="8">
        <v>2000</v>
      </c>
      <c r="AA7" s="8">
        <v>2000</v>
      </c>
      <c r="AB7" s="8">
        <v>2000</v>
      </c>
      <c r="AC7" s="8">
        <v>2000</v>
      </c>
      <c r="AD7" s="29">
        <v>2000</v>
      </c>
      <c r="AE7" s="8">
        <f>2000/2</f>
        <v>1000</v>
      </c>
      <c r="AF7" s="8">
        <v>2000</v>
      </c>
      <c r="AG7" s="8">
        <f>2000-1500</f>
        <v>500</v>
      </c>
      <c r="AH7" s="8">
        <f>2500/2</f>
        <v>1250</v>
      </c>
      <c r="AI7" s="8">
        <v>2500</v>
      </c>
      <c r="AJ7" s="8">
        <v>2500</v>
      </c>
      <c r="AK7" s="8">
        <v>2500</v>
      </c>
      <c r="AL7" s="8">
        <v>2500</v>
      </c>
      <c r="AM7" s="8">
        <v>2500</v>
      </c>
      <c r="AN7" s="8">
        <f>2500-2000</f>
        <v>500</v>
      </c>
      <c r="AO7" s="8">
        <v>2500</v>
      </c>
      <c r="AP7" s="8">
        <v>2500</v>
      </c>
      <c r="AQ7" s="8">
        <f>2500/2</f>
        <v>1250</v>
      </c>
      <c r="AR7" s="8">
        <v>2500</v>
      </c>
      <c r="AS7" s="8">
        <f>2500/2</f>
        <v>1250</v>
      </c>
      <c r="AT7" s="8">
        <v>2500</v>
      </c>
      <c r="AU7" s="8">
        <v>2500</v>
      </c>
      <c r="AV7" s="8">
        <v>2500</v>
      </c>
      <c r="AW7" s="8">
        <v>2500</v>
      </c>
      <c r="AX7" s="8">
        <v>2500</v>
      </c>
      <c r="AY7" s="8">
        <v>2500</v>
      </c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3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>
        <v>400</v>
      </c>
      <c r="CA7" s="29">
        <v>400</v>
      </c>
      <c r="CB7" s="29">
        <v>400</v>
      </c>
      <c r="CC7" s="29">
        <f>400-240</f>
        <v>160</v>
      </c>
      <c r="CD7" s="8">
        <v>400</v>
      </c>
      <c r="CE7" s="8">
        <f>400-400</f>
        <v>0</v>
      </c>
      <c r="CF7" s="8">
        <f>400-195</f>
        <v>205</v>
      </c>
      <c r="CG7" s="8">
        <v>400</v>
      </c>
      <c r="CH7" s="8">
        <v>400</v>
      </c>
      <c r="CI7" s="8">
        <v>400</v>
      </c>
      <c r="CJ7" s="8">
        <v>400</v>
      </c>
      <c r="CK7" s="29">
        <v>400</v>
      </c>
      <c r="CL7" s="29">
        <f>400-400</f>
        <v>0</v>
      </c>
      <c r="CM7" s="29">
        <v>400</v>
      </c>
      <c r="CN7" s="29">
        <f>400-225</f>
        <v>175</v>
      </c>
      <c r="CO7" s="8">
        <f>400-75</f>
        <v>325</v>
      </c>
      <c r="CP7" s="8">
        <f>400-135</f>
        <v>265</v>
      </c>
      <c r="CQ7" s="8">
        <f>400-105</f>
        <v>295</v>
      </c>
      <c r="CR7" s="8">
        <v>400</v>
      </c>
      <c r="CS7" s="8">
        <v>400</v>
      </c>
      <c r="CT7" s="8">
        <v>400</v>
      </c>
      <c r="CU7" s="8">
        <v>400</v>
      </c>
      <c r="CV7" s="8">
        <v>400</v>
      </c>
      <c r="CW7" s="8">
        <v>400</v>
      </c>
      <c r="CX7" s="17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179"/>
      <c r="DM7" s="179"/>
      <c r="DN7" s="179"/>
      <c r="DO7" s="179"/>
      <c r="DP7" s="179"/>
      <c r="DQ7" s="179"/>
      <c r="DR7" s="8"/>
      <c r="DS7" s="8"/>
      <c r="DT7" s="8"/>
      <c r="DU7" s="8"/>
      <c r="DV7" s="8"/>
      <c r="DW7" s="8"/>
      <c r="DX7" s="55"/>
      <c r="DY7" s="8"/>
      <c r="DZ7" s="8"/>
      <c r="EA7" s="8"/>
      <c r="EB7" s="8"/>
      <c r="EC7" s="8"/>
      <c r="ED7" s="29"/>
      <c r="EE7" s="8"/>
      <c r="EF7" s="8"/>
      <c r="EG7" s="8"/>
      <c r="EH7" s="8"/>
      <c r="EI7" s="8"/>
      <c r="EJ7" s="23"/>
    </row>
    <row r="8" spans="1:140" ht="18" customHeight="1">
      <c r="A8" s="59">
        <v>6</v>
      </c>
      <c r="B8" s="59" t="s">
        <v>1069</v>
      </c>
      <c r="C8" s="51" t="s">
        <v>477</v>
      </c>
      <c r="D8" s="50">
        <f>1000+300+300+600+600</f>
        <v>2800</v>
      </c>
      <c r="E8" s="79" t="s">
        <v>1085</v>
      </c>
      <c r="F8" s="59" t="s">
        <v>1083</v>
      </c>
      <c r="G8" s="138">
        <f>18000-1500+3000*6+3500*6+3500+3500*5+3500*6-1750</f>
        <v>95750</v>
      </c>
      <c r="H8" s="52" t="s">
        <v>1084</v>
      </c>
      <c r="I8" s="89">
        <f>400*6+400*6-75-90+400*6-60-135+400*6-165-90</f>
        <v>8985</v>
      </c>
      <c r="J8" s="52" t="s">
        <v>1084</v>
      </c>
      <c r="K8" s="8">
        <f>200*6+400*6+400*6+400*6</f>
        <v>8400</v>
      </c>
      <c r="L8" s="8">
        <f t="shared" si="0"/>
        <v>115935</v>
      </c>
      <c r="M8" s="8">
        <f>SUM(O8:EI8)</f>
        <v>113135</v>
      </c>
      <c r="N8" s="8">
        <f t="shared" si="1"/>
        <v>2800</v>
      </c>
      <c r="O8" s="8"/>
      <c r="P8" s="8"/>
      <c r="Q8" s="8"/>
      <c r="R8" s="8"/>
      <c r="S8" s="8"/>
      <c r="T8" s="8"/>
      <c r="U8" s="8">
        <v>3000</v>
      </c>
      <c r="V8" s="8">
        <v>3000</v>
      </c>
      <c r="W8" s="8">
        <v>1500</v>
      </c>
      <c r="X8" s="8">
        <v>1500</v>
      </c>
      <c r="Y8" s="8">
        <v>1500</v>
      </c>
      <c r="Z8" s="8">
        <v>3000</v>
      </c>
      <c r="AA8" s="8">
        <v>3000</v>
      </c>
      <c r="AB8" s="8">
        <v>3000</v>
      </c>
      <c r="AC8" s="8">
        <v>3000</v>
      </c>
      <c r="AD8" s="29">
        <v>3000</v>
      </c>
      <c r="AE8" s="8">
        <v>3000</v>
      </c>
      <c r="AF8" s="8">
        <v>3000</v>
      </c>
      <c r="AG8" s="8">
        <v>3000</v>
      </c>
      <c r="AH8" s="8">
        <v>3500</v>
      </c>
      <c r="AI8" s="8">
        <v>3500</v>
      </c>
      <c r="AJ8" s="8">
        <v>3500</v>
      </c>
      <c r="AK8" s="8">
        <v>3500</v>
      </c>
      <c r="AL8" s="8">
        <v>3500</v>
      </c>
      <c r="AM8" s="8">
        <v>3500</v>
      </c>
      <c r="AN8" s="8">
        <v>3500</v>
      </c>
      <c r="AO8" s="8">
        <f>3500/2</f>
        <v>1750</v>
      </c>
      <c r="AP8" s="8">
        <v>3500</v>
      </c>
      <c r="AQ8" s="8">
        <v>3500</v>
      </c>
      <c r="AR8" s="8">
        <v>3500</v>
      </c>
      <c r="AS8" s="8">
        <v>3500</v>
      </c>
      <c r="AT8" s="8">
        <v>3500</v>
      </c>
      <c r="AU8" s="8">
        <v>3500</v>
      </c>
      <c r="AV8" s="8">
        <v>3500</v>
      </c>
      <c r="AW8" s="8">
        <v>3500</v>
      </c>
      <c r="AX8" s="8">
        <v>3500</v>
      </c>
      <c r="AY8" s="8">
        <v>3500</v>
      </c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3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>
        <f>400-75</f>
        <v>325</v>
      </c>
      <c r="CA8" s="29">
        <v>400</v>
      </c>
      <c r="CB8" s="29">
        <v>400</v>
      </c>
      <c r="CC8" s="29">
        <v>400</v>
      </c>
      <c r="CD8" s="8">
        <v>400</v>
      </c>
      <c r="CE8" s="8">
        <f>400-90</f>
        <v>310</v>
      </c>
      <c r="CF8" s="8">
        <f>400-60</f>
        <v>340</v>
      </c>
      <c r="CG8" s="8">
        <v>400</v>
      </c>
      <c r="CH8" s="8">
        <v>400</v>
      </c>
      <c r="CI8" s="8">
        <f>400-135</f>
        <v>265</v>
      </c>
      <c r="CJ8" s="8">
        <v>400</v>
      </c>
      <c r="CK8" s="29">
        <v>400</v>
      </c>
      <c r="CL8" s="29">
        <v>400</v>
      </c>
      <c r="CM8" s="29">
        <f>400-165</f>
        <v>235</v>
      </c>
      <c r="CN8" s="29">
        <v>400</v>
      </c>
      <c r="CO8" s="29">
        <v>400</v>
      </c>
      <c r="CP8" s="29">
        <f>400-90</f>
        <v>310</v>
      </c>
      <c r="CQ8" s="29">
        <v>400</v>
      </c>
      <c r="CR8" s="29">
        <v>400</v>
      </c>
      <c r="CS8" s="29">
        <v>400</v>
      </c>
      <c r="CT8" s="29">
        <v>400</v>
      </c>
      <c r="CU8" s="29">
        <v>400</v>
      </c>
      <c r="CV8" s="29">
        <v>400</v>
      </c>
      <c r="CW8" s="29">
        <v>400</v>
      </c>
      <c r="CX8" s="17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179">
        <v>200</v>
      </c>
      <c r="DM8" s="179">
        <v>200</v>
      </c>
      <c r="DN8" s="179">
        <v>200</v>
      </c>
      <c r="DO8" s="179">
        <v>200</v>
      </c>
      <c r="DP8" s="179">
        <v>200</v>
      </c>
      <c r="DQ8" s="179">
        <v>200</v>
      </c>
      <c r="DR8" s="8">
        <v>400</v>
      </c>
      <c r="DS8" s="8">
        <v>400</v>
      </c>
      <c r="DT8" s="8">
        <v>400</v>
      </c>
      <c r="DU8" s="8">
        <v>400</v>
      </c>
      <c r="DV8" s="8">
        <v>400</v>
      </c>
      <c r="DW8" s="8">
        <v>400</v>
      </c>
      <c r="DX8" s="8">
        <v>400</v>
      </c>
      <c r="DY8" s="8">
        <v>400</v>
      </c>
      <c r="DZ8" s="8">
        <v>400</v>
      </c>
      <c r="EA8" s="8">
        <v>400</v>
      </c>
      <c r="EB8" s="8">
        <v>400</v>
      </c>
      <c r="EC8" s="8">
        <v>400</v>
      </c>
      <c r="ED8" s="29">
        <v>400</v>
      </c>
      <c r="EE8" s="8">
        <v>400</v>
      </c>
      <c r="EF8" s="8">
        <v>400</v>
      </c>
      <c r="EG8" s="8">
        <v>400</v>
      </c>
      <c r="EH8" s="8">
        <v>400</v>
      </c>
      <c r="EI8" s="8">
        <v>400</v>
      </c>
      <c r="EJ8" s="23"/>
    </row>
    <row r="9" spans="1:140" ht="18" customHeight="1">
      <c r="A9" s="59">
        <v>7</v>
      </c>
      <c r="B9" s="52" t="s">
        <v>1069</v>
      </c>
      <c r="C9" s="51" t="s">
        <v>1086</v>
      </c>
      <c r="D9" s="50">
        <f>1000+300+300+600+600</f>
        <v>2800</v>
      </c>
      <c r="E9" s="79" t="s">
        <v>1087</v>
      </c>
      <c r="F9" s="59" t="s">
        <v>1083</v>
      </c>
      <c r="G9" s="138">
        <f>3000*12-3000*6+3000*6-1500-1500+3500*6+3500*6+3500*6-1750-3000</f>
        <v>91250</v>
      </c>
      <c r="H9" s="52" t="s">
        <v>1088</v>
      </c>
      <c r="I9" s="89">
        <f>200*12-200*6+400*6-100+400*6-75-90-75+400*2+400*2+400-150+400*6-225</f>
        <v>9685</v>
      </c>
      <c r="J9" s="52"/>
      <c r="K9" s="8"/>
      <c r="L9" s="8">
        <f t="shared" si="0"/>
        <v>103735</v>
      </c>
      <c r="M9" s="8">
        <f t="shared" si="2"/>
        <v>100935</v>
      </c>
      <c r="N9" s="8">
        <f t="shared" si="1"/>
        <v>2800</v>
      </c>
      <c r="O9" s="8"/>
      <c r="P9" s="8"/>
      <c r="Q9" s="8"/>
      <c r="R9" s="8"/>
      <c r="S9" s="8"/>
      <c r="T9" s="8"/>
      <c r="U9" s="8">
        <v>3000</v>
      </c>
      <c r="V9" s="8">
        <v>3000</v>
      </c>
      <c r="W9" s="8">
        <v>1500</v>
      </c>
      <c r="X9" s="8">
        <v>1500</v>
      </c>
      <c r="Y9" s="8">
        <f>3000-1500</f>
        <v>1500</v>
      </c>
      <c r="Z9" s="8">
        <v>3000</v>
      </c>
      <c r="AA9" s="8">
        <f>3000-1500</f>
        <v>1500</v>
      </c>
      <c r="AB9" s="8">
        <v>3000</v>
      </c>
      <c r="AC9" s="8">
        <v>3000</v>
      </c>
      <c r="AD9" s="29">
        <v>3000</v>
      </c>
      <c r="AE9" s="8">
        <v>3000</v>
      </c>
      <c r="AF9" s="8">
        <v>3000</v>
      </c>
      <c r="AG9" s="8">
        <v>3000</v>
      </c>
      <c r="AH9" s="8">
        <v>3500</v>
      </c>
      <c r="AI9" s="8">
        <v>3500</v>
      </c>
      <c r="AJ9" s="8">
        <v>3500</v>
      </c>
      <c r="AK9" s="8">
        <v>3500</v>
      </c>
      <c r="AL9" s="8">
        <v>3500</v>
      </c>
      <c r="AM9" s="8">
        <v>3500</v>
      </c>
      <c r="AN9" s="8">
        <v>3500</v>
      </c>
      <c r="AO9" s="8">
        <v>3500</v>
      </c>
      <c r="AP9" s="8">
        <v>3500</v>
      </c>
      <c r="AQ9" s="8">
        <v>3500</v>
      </c>
      <c r="AR9" s="8">
        <f>3500/2</f>
        <v>1750</v>
      </c>
      <c r="AS9" s="8">
        <f>3500-3000</f>
        <v>500</v>
      </c>
      <c r="AT9" s="8">
        <v>3500</v>
      </c>
      <c r="AU9" s="8">
        <v>3500</v>
      </c>
      <c r="AV9" s="8">
        <v>3500</v>
      </c>
      <c r="AW9" s="8">
        <v>3500</v>
      </c>
      <c r="AX9" s="8">
        <v>3500</v>
      </c>
      <c r="AY9" s="8">
        <v>3500</v>
      </c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38"/>
      <c r="BM9" s="8"/>
      <c r="BN9" s="8"/>
      <c r="BO9" s="8"/>
      <c r="BP9" s="8"/>
      <c r="BQ9" s="8"/>
      <c r="BR9" s="8"/>
      <c r="BS9" s="8">
        <v>200</v>
      </c>
      <c r="BT9" s="8">
        <v>200</v>
      </c>
      <c r="BU9" s="8">
        <v>100</v>
      </c>
      <c r="BV9" s="8">
        <v>100</v>
      </c>
      <c r="BW9" s="8">
        <f>200-100</f>
        <v>100</v>
      </c>
      <c r="BX9" s="8">
        <v>200</v>
      </c>
      <c r="BY9" s="8">
        <v>200</v>
      </c>
      <c r="BZ9" s="8">
        <f>400-75</f>
        <v>325</v>
      </c>
      <c r="CA9" s="29">
        <v>400</v>
      </c>
      <c r="CB9" s="29">
        <f>400-90</f>
        <v>310</v>
      </c>
      <c r="CC9" s="29">
        <v>400</v>
      </c>
      <c r="CD9" s="8">
        <v>400</v>
      </c>
      <c r="CE9" s="8">
        <f>400-75</f>
        <v>325</v>
      </c>
      <c r="CF9" s="8">
        <v>400</v>
      </c>
      <c r="CG9" s="8">
        <v>400</v>
      </c>
      <c r="CH9" s="8">
        <v>400</v>
      </c>
      <c r="CI9" s="8">
        <v>400</v>
      </c>
      <c r="CJ9" s="8">
        <v>400</v>
      </c>
      <c r="CK9" s="29">
        <v>400</v>
      </c>
      <c r="CL9" s="29">
        <v>400</v>
      </c>
      <c r="CM9" s="29">
        <v>400</v>
      </c>
      <c r="CN9" s="29">
        <f>400-150</f>
        <v>250</v>
      </c>
      <c r="CO9" s="29">
        <v>400</v>
      </c>
      <c r="CP9" s="29">
        <f>400-225</f>
        <v>175</v>
      </c>
      <c r="CQ9" s="92"/>
      <c r="CR9" s="29">
        <v>400</v>
      </c>
      <c r="CS9" s="29">
        <v>400</v>
      </c>
      <c r="CT9" s="29">
        <v>400</v>
      </c>
      <c r="CU9" s="29">
        <v>400</v>
      </c>
      <c r="CV9" s="29">
        <v>400</v>
      </c>
      <c r="CW9" s="29">
        <v>400</v>
      </c>
      <c r="CX9" s="17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179"/>
      <c r="DM9" s="179"/>
      <c r="DN9" s="179"/>
      <c r="DO9" s="179"/>
      <c r="DP9" s="179"/>
      <c r="DQ9" s="179"/>
      <c r="DR9" s="8"/>
      <c r="DS9" s="8"/>
      <c r="DT9" s="8"/>
      <c r="DU9" s="8"/>
      <c r="DV9" s="8"/>
      <c r="DW9" s="8"/>
      <c r="DX9" s="55"/>
      <c r="DY9" s="8"/>
      <c r="DZ9" s="8"/>
      <c r="EA9" s="8"/>
      <c r="EB9" s="8"/>
      <c r="EC9" s="8"/>
      <c r="ED9" s="29"/>
      <c r="EE9" s="8"/>
      <c r="EF9" s="8"/>
      <c r="EG9" s="8"/>
      <c r="EH9" s="8"/>
      <c r="EI9" s="8"/>
      <c r="EJ9" s="23"/>
    </row>
    <row r="10" spans="1:140" ht="18" customHeight="1">
      <c r="A10" s="59">
        <v>8</v>
      </c>
      <c r="B10" s="59" t="s">
        <v>1069</v>
      </c>
      <c r="C10" s="50" t="s">
        <v>1089</v>
      </c>
      <c r="D10" s="50">
        <f>1500+1000+300+300+480+120+600</f>
        <v>4300</v>
      </c>
      <c r="E10" s="79" t="s">
        <v>1090</v>
      </c>
      <c r="F10" s="59" t="s">
        <v>1091</v>
      </c>
      <c r="G10" s="138">
        <f>3000*6-4700+2000*6-1100-(2200-2200*15%)+500+2500*5-1000-1000-1500-1500+3000-2000-2000-2000+3000+3000+3000+3000+2500*6</f>
        <v>54330</v>
      </c>
      <c r="H10" s="52" t="s">
        <v>1092</v>
      </c>
      <c r="I10" s="89">
        <f>400*6+400*2-45-225-195-400-400+400+400+400+400+400-105+400*6-60</f>
        <v>6170</v>
      </c>
      <c r="J10" s="52" t="s">
        <v>1093</v>
      </c>
      <c r="K10" s="8">
        <f>300*6+200*6+400*2-200-200+400+400+400+400+400+400*3</f>
        <v>6600</v>
      </c>
      <c r="L10" s="8">
        <f t="shared" si="0"/>
        <v>71400</v>
      </c>
      <c r="M10" s="8">
        <f>SUM(O10:EI10)</f>
        <v>67100</v>
      </c>
      <c r="N10" s="8">
        <f t="shared" si="1"/>
        <v>4300</v>
      </c>
      <c r="O10" s="8"/>
      <c r="P10" s="8"/>
      <c r="Q10" s="8"/>
      <c r="R10" s="8"/>
      <c r="S10" s="8"/>
      <c r="T10" s="8"/>
      <c r="U10" s="8">
        <v>3000</v>
      </c>
      <c r="V10" s="8">
        <f>3000-1500</f>
        <v>1500</v>
      </c>
      <c r="W10" s="8">
        <v>1100</v>
      </c>
      <c r="X10" s="8">
        <v>1100</v>
      </c>
      <c r="Y10" s="8">
        <f>2200-1100</f>
        <v>1100</v>
      </c>
      <c r="Z10" s="8">
        <v>2200</v>
      </c>
      <c r="AA10" s="8">
        <v>330</v>
      </c>
      <c r="AB10" s="8">
        <v>2000</v>
      </c>
      <c r="AC10" s="8">
        <v>2000</v>
      </c>
      <c r="AD10" s="29">
        <f>2000/2</f>
        <v>1000</v>
      </c>
      <c r="AE10" s="29">
        <f>2000/2</f>
        <v>1000</v>
      </c>
      <c r="AF10" s="8">
        <f>2000-1500</f>
        <v>500</v>
      </c>
      <c r="AG10" s="8">
        <f>2000-1500</f>
        <v>500</v>
      </c>
      <c r="AH10" s="8">
        <v>500</v>
      </c>
      <c r="AI10" s="8">
        <f>2500-2000</f>
        <v>500</v>
      </c>
      <c r="AJ10" s="8">
        <v>2500</v>
      </c>
      <c r="AK10" s="8">
        <v>2500</v>
      </c>
      <c r="AL10" s="8">
        <f>2500-2000</f>
        <v>500</v>
      </c>
      <c r="AM10" s="8">
        <f>2500-2000</f>
        <v>500</v>
      </c>
      <c r="AN10" s="8">
        <v>3000</v>
      </c>
      <c r="AP10" s="8">
        <v>3000</v>
      </c>
      <c r="AQ10" s="8">
        <v>3000</v>
      </c>
      <c r="AR10" s="8">
        <v>3000</v>
      </c>
      <c r="AS10" s="8">
        <v>3000</v>
      </c>
      <c r="AT10" s="8">
        <v>2500</v>
      </c>
      <c r="AU10" s="8">
        <v>2500</v>
      </c>
      <c r="AV10" s="8">
        <v>2500</v>
      </c>
      <c r="AW10" s="8">
        <v>2500</v>
      </c>
      <c r="AX10" s="8">
        <v>2500</v>
      </c>
      <c r="AY10" s="8">
        <v>2500</v>
      </c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3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>
        <f>400-45</f>
        <v>355</v>
      </c>
      <c r="CA10" s="29">
        <v>400</v>
      </c>
      <c r="CB10" s="29">
        <f>400-225</f>
        <v>175</v>
      </c>
      <c r="CC10" s="29">
        <f>400-195</f>
        <v>205</v>
      </c>
      <c r="CD10" s="8">
        <f>400-400</f>
        <v>0</v>
      </c>
      <c r="CE10" s="8">
        <f>400-400</f>
        <v>0</v>
      </c>
      <c r="CF10" s="8"/>
      <c r="CH10" s="8">
        <v>400</v>
      </c>
      <c r="CI10" s="8">
        <v>400</v>
      </c>
      <c r="CJ10" s="8"/>
      <c r="CK10" s="29"/>
      <c r="CL10" s="29">
        <v>400</v>
      </c>
      <c r="CN10" s="29">
        <v>400</v>
      </c>
      <c r="CO10" s="29">
        <f>400-105</f>
        <v>295</v>
      </c>
      <c r="CP10" s="29">
        <f>400-60</f>
        <v>340</v>
      </c>
      <c r="CQ10" s="29">
        <v>400</v>
      </c>
      <c r="CR10" s="29">
        <v>400</v>
      </c>
      <c r="CS10" s="29">
        <v>400</v>
      </c>
      <c r="CT10" s="29">
        <v>400</v>
      </c>
      <c r="CU10" s="29">
        <v>400</v>
      </c>
      <c r="CV10" s="29">
        <v>400</v>
      </c>
      <c r="CW10" s="29">
        <v>400</v>
      </c>
      <c r="CX10" s="178"/>
      <c r="CY10" s="8"/>
      <c r="CZ10" s="8"/>
      <c r="DA10" s="8"/>
      <c r="DB10" s="8"/>
      <c r="DC10" s="8"/>
      <c r="DD10" s="8"/>
      <c r="DE10" s="8">
        <v>300</v>
      </c>
      <c r="DF10" s="8">
        <v>300</v>
      </c>
      <c r="DG10" s="8">
        <v>150</v>
      </c>
      <c r="DH10" s="8">
        <v>150</v>
      </c>
      <c r="DI10" s="8">
        <v>300</v>
      </c>
      <c r="DJ10" s="8">
        <v>300</v>
      </c>
      <c r="DK10" s="8">
        <v>300</v>
      </c>
      <c r="DL10" s="179">
        <v>200</v>
      </c>
      <c r="DM10" s="179">
        <v>200</v>
      </c>
      <c r="DN10" s="179">
        <v>200</v>
      </c>
      <c r="DO10" s="179">
        <v>200</v>
      </c>
      <c r="DP10" s="12">
        <f>200-200</f>
        <v>0</v>
      </c>
      <c r="DQ10" s="12">
        <f>200-200</f>
        <v>0</v>
      </c>
      <c r="DR10" s="8"/>
      <c r="DT10" s="8">
        <v>400</v>
      </c>
      <c r="DU10" s="8">
        <v>400</v>
      </c>
      <c r="DV10" s="8"/>
      <c r="DW10" s="8"/>
      <c r="DX10" s="8">
        <v>400</v>
      </c>
      <c r="DZ10" s="8">
        <v>400</v>
      </c>
      <c r="EA10" s="8">
        <v>400</v>
      </c>
      <c r="EB10" s="8">
        <v>400</v>
      </c>
      <c r="EC10" s="8">
        <v>400</v>
      </c>
      <c r="ED10" s="29">
        <v>400</v>
      </c>
      <c r="EE10" s="8">
        <v>400</v>
      </c>
      <c r="EF10" s="8">
        <v>400</v>
      </c>
      <c r="EG10" s="8"/>
      <c r="EH10" s="8"/>
      <c r="EI10" s="8"/>
      <c r="EJ10" s="23"/>
    </row>
    <row r="11" spans="1:140" ht="18" customHeight="1">
      <c r="A11" s="59">
        <v>9</v>
      </c>
      <c r="B11" s="59" t="s">
        <v>1069</v>
      </c>
      <c r="C11" s="51" t="s">
        <v>479</v>
      </c>
      <c r="D11" s="50">
        <f>1000+300+300+600+600</f>
        <v>2800</v>
      </c>
      <c r="E11" s="79" t="s">
        <v>1094</v>
      </c>
      <c r="F11" s="59" t="s">
        <v>1083</v>
      </c>
      <c r="G11" s="138">
        <f>2000*6+2000*6+2500*6-1500-1500+2500*6-1250-1250+2500*6-1250-2000</f>
        <v>60250</v>
      </c>
      <c r="H11" s="52" t="s">
        <v>1083</v>
      </c>
      <c r="I11" s="89">
        <f>200*6+400*6+400*6-400-90-400+400*6-195-225+400*6-195-400</f>
        <v>8895</v>
      </c>
      <c r="J11" s="52"/>
      <c r="K11" s="8"/>
      <c r="L11" s="8">
        <f t="shared" si="0"/>
        <v>71945</v>
      </c>
      <c r="M11" s="8">
        <f t="shared" si="2"/>
        <v>69145</v>
      </c>
      <c r="N11" s="8">
        <f t="shared" si="1"/>
        <v>2800</v>
      </c>
      <c r="O11" s="8"/>
      <c r="P11" s="8"/>
      <c r="Q11" s="8"/>
      <c r="R11" s="8"/>
      <c r="S11" s="8"/>
      <c r="T11" s="8"/>
      <c r="U11" s="8">
        <v>2000</v>
      </c>
      <c r="V11" s="8">
        <v>2000</v>
      </c>
      <c r="W11" s="8">
        <v>1000</v>
      </c>
      <c r="X11" s="8">
        <v>1000</v>
      </c>
      <c r="Y11" s="8">
        <v>2000</v>
      </c>
      <c r="Z11" s="8">
        <v>2000</v>
      </c>
      <c r="AA11" s="8">
        <v>2000</v>
      </c>
      <c r="AB11" s="8">
        <v>2000</v>
      </c>
      <c r="AC11" s="8">
        <f>2000-1500</f>
        <v>500</v>
      </c>
      <c r="AD11" s="29">
        <v>2000</v>
      </c>
      <c r="AE11" s="8">
        <v>2000</v>
      </c>
      <c r="AF11" s="8">
        <v>2000</v>
      </c>
      <c r="AG11" s="8">
        <f>2000-1500</f>
        <v>500</v>
      </c>
      <c r="AH11" s="8">
        <v>2500</v>
      </c>
      <c r="AI11" s="8">
        <v>2500</v>
      </c>
      <c r="AJ11" s="8">
        <v>2500</v>
      </c>
      <c r="AK11" s="8">
        <v>2500</v>
      </c>
      <c r="AL11" s="8">
        <v>2500</v>
      </c>
      <c r="AM11" s="8">
        <v>2500</v>
      </c>
      <c r="AN11" s="8">
        <f>2500/2</f>
        <v>1250</v>
      </c>
      <c r="AO11" s="8">
        <v>2500</v>
      </c>
      <c r="AP11" s="8">
        <f>2500/2</f>
        <v>1250</v>
      </c>
      <c r="AQ11" s="8">
        <v>2500</v>
      </c>
      <c r="AR11" s="8">
        <f>2500/2</f>
        <v>1250</v>
      </c>
      <c r="AS11" s="8">
        <f>2500-2000</f>
        <v>500</v>
      </c>
      <c r="AT11" s="8">
        <v>2500</v>
      </c>
      <c r="AU11" s="8">
        <v>2500</v>
      </c>
      <c r="AV11" s="8">
        <v>2500</v>
      </c>
      <c r="AW11" s="8">
        <v>2500</v>
      </c>
      <c r="AX11" s="8">
        <v>2500</v>
      </c>
      <c r="AY11" s="8">
        <v>2500</v>
      </c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38"/>
      <c r="BM11" s="8"/>
      <c r="BN11" s="8"/>
      <c r="BO11" s="8"/>
      <c r="BP11" s="8"/>
      <c r="BQ11" s="8"/>
      <c r="BR11" s="8"/>
      <c r="BS11" s="8">
        <v>200</v>
      </c>
      <c r="BT11" s="8">
        <v>200</v>
      </c>
      <c r="BU11" s="8">
        <v>100</v>
      </c>
      <c r="BV11" s="8">
        <v>100</v>
      </c>
      <c r="BW11" s="8">
        <v>200</v>
      </c>
      <c r="BX11" s="8">
        <v>200</v>
      </c>
      <c r="BY11" s="8">
        <v>200</v>
      </c>
      <c r="BZ11" s="8">
        <v>400</v>
      </c>
      <c r="CA11" s="29">
        <f>400-400</f>
        <v>0</v>
      </c>
      <c r="CB11" s="29">
        <f>400-90</f>
        <v>310</v>
      </c>
      <c r="CC11" s="29">
        <v>400</v>
      </c>
      <c r="CD11" s="8">
        <v>400</v>
      </c>
      <c r="CE11" s="8">
        <f>400-400</f>
        <v>0</v>
      </c>
      <c r="CF11" s="8">
        <v>400</v>
      </c>
      <c r="CG11" s="8">
        <v>400</v>
      </c>
      <c r="CH11" s="8">
        <v>400</v>
      </c>
      <c r="CI11" s="8">
        <v>400</v>
      </c>
      <c r="CJ11" s="8">
        <v>400</v>
      </c>
      <c r="CK11" s="29">
        <v>400</v>
      </c>
      <c r="CL11" s="29">
        <f>400-195</f>
        <v>205</v>
      </c>
      <c r="CM11" s="29">
        <v>400</v>
      </c>
      <c r="CN11" s="29">
        <f>400-225</f>
        <v>175</v>
      </c>
      <c r="CO11" s="8">
        <v>400</v>
      </c>
      <c r="CP11" s="8">
        <f>400-195</f>
        <v>205</v>
      </c>
      <c r="CQ11" s="8">
        <f>400-400</f>
        <v>0</v>
      </c>
      <c r="CR11" s="8">
        <v>400</v>
      </c>
      <c r="CS11" s="8">
        <v>400</v>
      </c>
      <c r="CT11" s="8">
        <v>400</v>
      </c>
      <c r="CU11" s="8">
        <v>400</v>
      </c>
      <c r="CV11" s="8">
        <v>400</v>
      </c>
      <c r="CW11" s="8">
        <v>400</v>
      </c>
      <c r="CX11" s="17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179"/>
      <c r="DM11" s="179"/>
      <c r="DN11" s="179"/>
      <c r="DO11" s="179"/>
      <c r="DP11" s="179"/>
      <c r="DQ11" s="179"/>
      <c r="DR11" s="8"/>
      <c r="DS11" s="8"/>
      <c r="DT11" s="8"/>
      <c r="DU11" s="8"/>
      <c r="DV11" s="8"/>
      <c r="DW11" s="8"/>
      <c r="DX11" s="55"/>
      <c r="DY11" s="8"/>
      <c r="DZ11" s="8"/>
      <c r="EA11" s="8"/>
      <c r="EB11" s="8"/>
      <c r="EC11" s="8"/>
      <c r="ED11" s="29"/>
      <c r="EE11" s="8"/>
      <c r="EF11" s="8"/>
      <c r="EG11" s="8"/>
      <c r="EH11" s="8"/>
      <c r="EI11" s="8"/>
      <c r="EJ11" s="23"/>
    </row>
    <row r="12" spans="1:140" s="34" customFormat="1" ht="18" customHeight="1">
      <c r="A12" s="59">
        <v>10</v>
      </c>
      <c r="B12" s="59" t="s">
        <v>1069</v>
      </c>
      <c r="C12" s="50" t="s">
        <v>1095</v>
      </c>
      <c r="D12" s="50">
        <f>1200+300-200+300+600+600</f>
        <v>2800</v>
      </c>
      <c r="E12" s="80" t="s">
        <v>1096</v>
      </c>
      <c r="F12" s="80" t="s">
        <v>1083</v>
      </c>
      <c r="G12" s="139">
        <f>3000*6+3000*6-1500+200+3500*6-200+3500*6+3500*6</f>
        <v>97500</v>
      </c>
      <c r="H12" s="52" t="s">
        <v>1083</v>
      </c>
      <c r="I12" s="50">
        <f>360*6+400*6-160*6-100+400*6-45-75+400*6-45-45-45+400*6-120</f>
        <v>10325</v>
      </c>
      <c r="J12" s="51"/>
      <c r="K12" s="8"/>
      <c r="L12" s="29">
        <f t="shared" si="0"/>
        <v>110625</v>
      </c>
      <c r="M12" s="29">
        <f t="shared" si="2"/>
        <v>107825</v>
      </c>
      <c r="N12" s="29">
        <f t="shared" si="1"/>
        <v>2800</v>
      </c>
      <c r="U12" s="29">
        <v>3000</v>
      </c>
      <c r="V12" s="29">
        <v>3000</v>
      </c>
      <c r="W12" s="29">
        <v>1500</v>
      </c>
      <c r="X12" s="29">
        <v>1500</v>
      </c>
      <c r="Y12" s="29">
        <v>1500</v>
      </c>
      <c r="Z12" s="29">
        <v>3000</v>
      </c>
      <c r="AA12" s="29">
        <v>3000</v>
      </c>
      <c r="AB12" s="29">
        <v>3000</v>
      </c>
      <c r="AC12" s="29">
        <v>3000</v>
      </c>
      <c r="AD12" s="29">
        <v>3000</v>
      </c>
      <c r="AE12" s="29">
        <v>3000</v>
      </c>
      <c r="AF12" s="29">
        <v>3000</v>
      </c>
      <c r="AG12" s="29">
        <v>3000</v>
      </c>
      <c r="AH12" s="29">
        <v>3500</v>
      </c>
      <c r="AI12" s="29">
        <v>3500</v>
      </c>
      <c r="AJ12" s="29">
        <v>3500</v>
      </c>
      <c r="AK12" s="29">
        <v>3500</v>
      </c>
      <c r="AL12" s="29">
        <v>3500</v>
      </c>
      <c r="AM12" s="29">
        <v>3500</v>
      </c>
      <c r="AN12" s="29">
        <v>3500</v>
      </c>
      <c r="AO12" s="29">
        <v>3500</v>
      </c>
      <c r="AP12" s="29">
        <v>3500</v>
      </c>
      <c r="AQ12" s="29">
        <v>3500</v>
      </c>
      <c r="AR12" s="29">
        <v>3500</v>
      </c>
      <c r="AS12" s="29">
        <v>3500</v>
      </c>
      <c r="AT12" s="29">
        <v>3500</v>
      </c>
      <c r="AU12" s="29">
        <v>3500</v>
      </c>
      <c r="AV12" s="29">
        <v>3500</v>
      </c>
      <c r="AW12" s="29">
        <v>3500</v>
      </c>
      <c r="AX12" s="29">
        <v>3500</v>
      </c>
      <c r="AY12" s="29">
        <v>3500</v>
      </c>
      <c r="BL12" s="36"/>
      <c r="BS12" s="34">
        <f>360-160</f>
        <v>200</v>
      </c>
      <c r="BT12" s="34">
        <f>360-160</f>
        <v>200</v>
      </c>
      <c r="BU12" s="34">
        <f>180-80</f>
        <v>100</v>
      </c>
      <c r="BV12" s="34">
        <f>180-80</f>
        <v>100</v>
      </c>
      <c r="BW12" s="34">
        <v>100</v>
      </c>
      <c r="BX12" s="34">
        <f>360-160</f>
        <v>200</v>
      </c>
      <c r="BY12" s="34">
        <f>360-160</f>
        <v>200</v>
      </c>
      <c r="BZ12" s="34">
        <f>400-45</f>
        <v>355</v>
      </c>
      <c r="CA12" s="34">
        <f>400-75</f>
        <v>325</v>
      </c>
      <c r="CB12" s="34">
        <v>400</v>
      </c>
      <c r="CC12" s="34">
        <v>400</v>
      </c>
      <c r="CD12" s="29">
        <v>400</v>
      </c>
      <c r="CE12" s="29">
        <v>400</v>
      </c>
      <c r="CF12" s="29">
        <v>400</v>
      </c>
      <c r="CG12" s="29">
        <v>400</v>
      </c>
      <c r="CH12" s="29">
        <v>400</v>
      </c>
      <c r="CI12" s="29">
        <f>400-45</f>
        <v>355</v>
      </c>
      <c r="CJ12" s="29">
        <f>400-45</f>
        <v>355</v>
      </c>
      <c r="CK12" s="29">
        <v>400</v>
      </c>
      <c r="CL12" s="29">
        <f>400-45</f>
        <v>355</v>
      </c>
      <c r="CM12" s="29">
        <v>400</v>
      </c>
      <c r="CN12" s="29">
        <v>400</v>
      </c>
      <c r="CO12" s="29">
        <v>400</v>
      </c>
      <c r="CP12" s="29">
        <f>400-120</f>
        <v>280</v>
      </c>
      <c r="CQ12" s="29">
        <v>400</v>
      </c>
      <c r="CR12" s="29">
        <v>400</v>
      </c>
      <c r="CS12" s="29">
        <v>400</v>
      </c>
      <c r="CT12" s="29">
        <v>400</v>
      </c>
      <c r="CU12" s="29">
        <v>400</v>
      </c>
      <c r="CV12" s="29">
        <v>400</v>
      </c>
      <c r="CW12" s="29">
        <v>400</v>
      </c>
      <c r="CX12" s="36"/>
      <c r="DX12" s="55"/>
      <c r="EJ12" s="107"/>
    </row>
    <row r="13" spans="1:140" ht="18" customHeight="1">
      <c r="A13" s="59">
        <v>11</v>
      </c>
      <c r="B13" s="59" t="s">
        <v>1069</v>
      </c>
      <c r="C13" s="50" t="s">
        <v>1097</v>
      </c>
      <c r="D13" s="50">
        <f>1500+1000+300+300+600+600</f>
        <v>4300</v>
      </c>
      <c r="E13" s="79" t="s">
        <v>1098</v>
      </c>
      <c r="F13" s="59" t="s">
        <v>1083</v>
      </c>
      <c r="G13" s="138">
        <f>2000*6+2000*6+2500*6-1500+2500*6-1250-2000-2000+2500*6-1250-1250</f>
        <v>59750</v>
      </c>
      <c r="H13" s="52" t="s">
        <v>1083</v>
      </c>
      <c r="I13" s="89">
        <f>360*6+400*6+400*6-30-72-64-16-75-90-75-400+400-285-105-400+400*5-105-400+400*6-120-150-180-225</f>
        <v>8968</v>
      </c>
      <c r="J13" s="52" t="s">
        <v>1099</v>
      </c>
      <c r="K13" s="8">
        <f>300*3+200*7-200+400*6</f>
        <v>4500</v>
      </c>
      <c r="L13" s="8">
        <f t="shared" si="0"/>
        <v>77518</v>
      </c>
      <c r="M13" s="29">
        <f>SUM(O13:EC13)</f>
        <v>73218</v>
      </c>
      <c r="N13" s="29">
        <f t="shared" si="1"/>
        <v>4300</v>
      </c>
      <c r="O13" s="8"/>
      <c r="P13" s="12"/>
      <c r="Q13" s="12"/>
      <c r="R13" s="12"/>
      <c r="S13" s="12"/>
      <c r="T13" s="12"/>
      <c r="U13" s="8">
        <v>2000</v>
      </c>
      <c r="V13" s="8">
        <v>2000</v>
      </c>
      <c r="W13" s="8">
        <v>1000</v>
      </c>
      <c r="X13" s="8">
        <v>1000</v>
      </c>
      <c r="Y13" s="8">
        <v>2000</v>
      </c>
      <c r="Z13" s="8">
        <v>2000</v>
      </c>
      <c r="AA13" s="8">
        <v>2000</v>
      </c>
      <c r="AB13" s="8">
        <v>2000</v>
      </c>
      <c r="AC13" s="8">
        <v>2000</v>
      </c>
      <c r="AD13" s="29">
        <v>2000</v>
      </c>
      <c r="AE13" s="8">
        <v>2000</v>
      </c>
      <c r="AF13" s="8">
        <v>2000</v>
      </c>
      <c r="AG13" s="8">
        <f>2000-1500</f>
        <v>500</v>
      </c>
      <c r="AH13" s="8">
        <v>2500</v>
      </c>
      <c r="AI13" s="8">
        <f>2500-1250</f>
        <v>1250</v>
      </c>
      <c r="AJ13" s="8">
        <v>2500</v>
      </c>
      <c r="AK13" s="8">
        <f>2500-2000</f>
        <v>500</v>
      </c>
      <c r="AL13" s="8">
        <v>2500</v>
      </c>
      <c r="AM13" s="8">
        <f>2500-2000</f>
        <v>500</v>
      </c>
      <c r="AN13" s="8">
        <v>2500</v>
      </c>
      <c r="AO13" s="8">
        <v>2500</v>
      </c>
      <c r="AP13" s="8">
        <v>2500</v>
      </c>
      <c r="AQ13" s="8">
        <f>2500/2</f>
        <v>1250</v>
      </c>
      <c r="AR13" s="8">
        <f>2500-1250</f>
        <v>1250</v>
      </c>
      <c r="AS13" s="8">
        <v>2500</v>
      </c>
      <c r="AT13" s="8">
        <v>2500</v>
      </c>
      <c r="AU13" s="8">
        <v>2500</v>
      </c>
      <c r="AV13" s="8">
        <v>2500</v>
      </c>
      <c r="AW13" s="8">
        <v>2500</v>
      </c>
      <c r="AX13" s="8">
        <v>2500</v>
      </c>
      <c r="AY13" s="8">
        <v>2500</v>
      </c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39"/>
      <c r="BM13" s="12"/>
      <c r="BN13" s="12"/>
      <c r="BO13" s="12"/>
      <c r="BP13" s="12"/>
      <c r="BQ13" s="12"/>
      <c r="BR13" s="12"/>
      <c r="BS13" s="12">
        <v>360</v>
      </c>
      <c r="BT13" s="12">
        <v>360</v>
      </c>
      <c r="BU13" s="12">
        <v>180</v>
      </c>
      <c r="BV13" s="12">
        <f>180-30</f>
        <v>150</v>
      </c>
      <c r="BW13" s="12">
        <f>360-72</f>
        <v>288</v>
      </c>
      <c r="BX13" s="12">
        <f>360-64</f>
        <v>296</v>
      </c>
      <c r="BY13" s="12">
        <f>360-16</f>
        <v>344</v>
      </c>
      <c r="BZ13" s="12">
        <f>400-75</f>
        <v>325</v>
      </c>
      <c r="CA13" s="31">
        <v>400</v>
      </c>
      <c r="CB13" s="31">
        <f>400-90</f>
        <v>310</v>
      </c>
      <c r="CC13" s="31">
        <f>400-75</f>
        <v>325</v>
      </c>
      <c r="CD13" s="12">
        <v>400</v>
      </c>
      <c r="CE13" s="12">
        <f>400-400</f>
        <v>0</v>
      </c>
      <c r="CF13" s="29">
        <v>400</v>
      </c>
      <c r="CG13" s="29">
        <f>400-285</f>
        <v>115</v>
      </c>
      <c r="CH13" s="29">
        <f>400-105</f>
        <v>295</v>
      </c>
      <c r="CI13" s="29">
        <f>400-400</f>
        <v>0</v>
      </c>
      <c r="CJ13" s="29">
        <f>400-105</f>
        <v>295</v>
      </c>
      <c r="CK13" s="29">
        <f>400-400</f>
        <v>0</v>
      </c>
      <c r="CL13" s="29">
        <f>400-120</f>
        <v>280</v>
      </c>
      <c r="CM13" s="29">
        <v>400</v>
      </c>
      <c r="CN13" s="29">
        <f>400-150</f>
        <v>250</v>
      </c>
      <c r="CO13" s="29">
        <f>400-180</f>
        <v>220</v>
      </c>
      <c r="CP13" s="29">
        <f>400-225</f>
        <v>175</v>
      </c>
      <c r="CQ13" s="29">
        <v>400</v>
      </c>
      <c r="CR13" s="29">
        <v>400</v>
      </c>
      <c r="CS13" s="29">
        <v>400</v>
      </c>
      <c r="CT13" s="29">
        <v>400</v>
      </c>
      <c r="CU13" s="29">
        <v>400</v>
      </c>
      <c r="CV13" s="29">
        <v>400</v>
      </c>
      <c r="CW13" s="29">
        <v>400</v>
      </c>
      <c r="CX13" s="180"/>
      <c r="CY13" s="12"/>
      <c r="CZ13" s="12"/>
      <c r="DA13" s="12"/>
      <c r="DB13" s="12"/>
      <c r="DC13" s="12"/>
      <c r="DD13" s="12"/>
      <c r="DE13" s="12"/>
      <c r="DF13" s="12"/>
      <c r="DG13" s="12">
        <v>150</v>
      </c>
      <c r="DH13" s="12">
        <v>150</v>
      </c>
      <c r="DI13" s="12">
        <v>300</v>
      </c>
      <c r="DJ13" s="12">
        <v>300</v>
      </c>
      <c r="DK13" s="12">
        <v>200</v>
      </c>
      <c r="DL13" s="12">
        <v>200</v>
      </c>
      <c r="DM13" s="12">
        <v>200</v>
      </c>
      <c r="DN13" s="12">
        <v>200</v>
      </c>
      <c r="DO13" s="12">
        <v>200</v>
      </c>
      <c r="DP13" s="12">
        <v>200</v>
      </c>
      <c r="DQ13" s="12">
        <f>200-200</f>
        <v>0</v>
      </c>
      <c r="DR13" s="12">
        <v>400</v>
      </c>
      <c r="DS13" s="12">
        <v>400</v>
      </c>
      <c r="DT13" s="12">
        <v>400</v>
      </c>
      <c r="DU13" s="12">
        <v>400</v>
      </c>
      <c r="DV13" s="12">
        <v>400</v>
      </c>
      <c r="DW13" s="12">
        <v>400</v>
      </c>
      <c r="DX13" s="55"/>
      <c r="DY13" s="12"/>
      <c r="DZ13" s="12"/>
      <c r="EA13" s="12"/>
      <c r="EB13" s="12"/>
      <c r="EC13" s="12"/>
      <c r="ED13" s="31"/>
      <c r="EE13" s="12"/>
      <c r="EF13" s="12"/>
      <c r="EG13" s="12"/>
      <c r="EH13" s="12"/>
      <c r="EI13" s="12"/>
      <c r="EJ13" s="23"/>
    </row>
    <row r="14" spans="1:140" ht="18" customHeight="1">
      <c r="A14" s="59">
        <v>12</v>
      </c>
      <c r="B14" s="59" t="s">
        <v>1069</v>
      </c>
      <c r="C14" s="50" t="s">
        <v>487</v>
      </c>
      <c r="D14" s="50">
        <f>1000+300+300+600+600</f>
        <v>2800</v>
      </c>
      <c r="E14" s="79" t="s">
        <v>1100</v>
      </c>
      <c r="F14" s="59" t="s">
        <v>1101</v>
      </c>
      <c r="G14" s="138">
        <f>2900*6+3000*6-2900*3-1450+3500*6-1500+3500*6-3000+3500*6</f>
        <v>83750</v>
      </c>
      <c r="H14" s="52" t="s">
        <v>1084</v>
      </c>
      <c r="I14" s="89">
        <f>400*6+400*6-45-60-240+400*6-120-45-75-400+400*6-75-45-105</f>
        <v>8390</v>
      </c>
      <c r="J14" s="52" t="s">
        <v>1102</v>
      </c>
      <c r="K14" s="8">
        <v>200</v>
      </c>
      <c r="L14" s="8">
        <f t="shared" si="0"/>
        <v>95140</v>
      </c>
      <c r="M14" s="29">
        <f>SUM(O14:EC14)</f>
        <v>92340</v>
      </c>
      <c r="N14" s="29">
        <f t="shared" si="1"/>
        <v>2800</v>
      </c>
      <c r="O14" s="8"/>
      <c r="P14" s="12"/>
      <c r="Q14" s="12"/>
      <c r="R14" s="12"/>
      <c r="S14" s="12"/>
      <c r="T14" s="12"/>
      <c r="U14" s="8"/>
      <c r="V14" s="8"/>
      <c r="W14" s="8"/>
      <c r="X14" s="8"/>
      <c r="Y14" s="8">
        <f>2900/2</f>
        <v>1450</v>
      </c>
      <c r="Z14" s="8">
        <v>2900</v>
      </c>
      <c r="AA14" s="8">
        <v>2900</v>
      </c>
      <c r="AB14" s="8">
        <v>3000</v>
      </c>
      <c r="AC14" s="8">
        <v>3000</v>
      </c>
      <c r="AD14" s="29">
        <v>3000</v>
      </c>
      <c r="AE14" s="8">
        <v>3000</v>
      </c>
      <c r="AF14" s="8">
        <v>3000</v>
      </c>
      <c r="AG14" s="8">
        <f>3000/2</f>
        <v>1500</v>
      </c>
      <c r="AH14" s="8">
        <v>3500</v>
      </c>
      <c r="AI14" s="8">
        <v>3500</v>
      </c>
      <c r="AJ14" s="8">
        <v>3500</v>
      </c>
      <c r="AK14" s="8">
        <v>3500</v>
      </c>
      <c r="AL14" s="8">
        <f>3500-3000</f>
        <v>500</v>
      </c>
      <c r="AM14" s="8">
        <v>3500</v>
      </c>
      <c r="AN14" s="8">
        <v>3500</v>
      </c>
      <c r="AO14" s="8">
        <v>3500</v>
      </c>
      <c r="AP14" s="8">
        <v>3500</v>
      </c>
      <c r="AQ14" s="8">
        <v>3500</v>
      </c>
      <c r="AR14" s="8">
        <v>3500</v>
      </c>
      <c r="AS14" s="8">
        <v>3500</v>
      </c>
      <c r="AT14" s="8">
        <v>3500</v>
      </c>
      <c r="AU14" s="8">
        <v>3500</v>
      </c>
      <c r="AV14" s="8">
        <v>3500</v>
      </c>
      <c r="AW14" s="8">
        <v>3500</v>
      </c>
      <c r="AX14" s="8">
        <v>3500</v>
      </c>
      <c r="AY14" s="8">
        <v>3500</v>
      </c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39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>
        <v>400</v>
      </c>
      <c r="CA14" s="31">
        <v>400</v>
      </c>
      <c r="CB14" s="31">
        <f>400-45</f>
        <v>355</v>
      </c>
      <c r="CC14" s="31">
        <f>400-60</f>
        <v>340</v>
      </c>
      <c r="CD14" s="12">
        <v>400</v>
      </c>
      <c r="CE14" s="12">
        <f>400-240</f>
        <v>160</v>
      </c>
      <c r="CF14" s="12">
        <f>400-120</f>
        <v>280</v>
      </c>
      <c r="CG14" s="12">
        <f>400-45</f>
        <v>355</v>
      </c>
      <c r="CH14" s="12">
        <f>400-75</f>
        <v>325</v>
      </c>
      <c r="CI14" s="12">
        <v>400</v>
      </c>
      <c r="CJ14" s="12">
        <f>400-400</f>
        <v>0</v>
      </c>
      <c r="CK14" s="31">
        <f>400-75</f>
        <v>325</v>
      </c>
      <c r="CL14" s="31">
        <v>400</v>
      </c>
      <c r="CM14" s="31">
        <v>400</v>
      </c>
      <c r="CN14" s="31">
        <f>400-45</f>
        <v>355</v>
      </c>
      <c r="CO14" s="12">
        <f>400-105</f>
        <v>295</v>
      </c>
      <c r="CP14" s="12">
        <v>400</v>
      </c>
      <c r="CQ14" s="12">
        <v>400</v>
      </c>
      <c r="CR14" s="12">
        <v>400</v>
      </c>
      <c r="CS14" s="12">
        <v>400</v>
      </c>
      <c r="CT14" s="12">
        <v>400</v>
      </c>
      <c r="CU14" s="12">
        <v>400</v>
      </c>
      <c r="CV14" s="12">
        <v>400</v>
      </c>
      <c r="CW14" s="12">
        <v>400</v>
      </c>
      <c r="CX14" s="180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81"/>
      <c r="DM14" s="181"/>
      <c r="DN14" s="181"/>
      <c r="DO14" s="12">
        <v>200</v>
      </c>
      <c r="DP14" s="181"/>
      <c r="DQ14" s="181"/>
      <c r="DR14" s="12"/>
      <c r="DS14" s="12"/>
      <c r="DT14" s="12"/>
      <c r="DU14" s="12"/>
      <c r="DV14" s="12"/>
      <c r="DW14" s="12"/>
      <c r="DX14" s="55"/>
      <c r="DY14" s="12"/>
      <c r="DZ14" s="12"/>
      <c r="EA14" s="12"/>
      <c r="EB14" s="12"/>
      <c r="EC14" s="12"/>
      <c r="ED14" s="31"/>
      <c r="EE14" s="12"/>
      <c r="EF14" s="12"/>
      <c r="EG14" s="12"/>
      <c r="EH14" s="12"/>
      <c r="EI14" s="12"/>
      <c r="EJ14" s="23"/>
    </row>
    <row r="15" spans="1:140" ht="18" customHeight="1">
      <c r="A15" s="59">
        <v>13</v>
      </c>
      <c r="B15" s="59" t="s">
        <v>1069</v>
      </c>
      <c r="C15" s="53" t="s">
        <v>1103</v>
      </c>
      <c r="D15" s="50">
        <f>1000+300+300+600+600</f>
        <v>2800</v>
      </c>
      <c r="E15" s="79" t="s">
        <v>1104</v>
      </c>
      <c r="F15" s="59" t="s">
        <v>1105</v>
      </c>
      <c r="G15" s="138">
        <f>2000*11-2000*6+2000*6+2500*6-1500+2500*6-1250-2000-1250+2500*6-1250-2000</f>
        <v>57750</v>
      </c>
      <c r="H15" s="52" t="s">
        <v>1106</v>
      </c>
      <c r="I15" s="89">
        <f>400+400*4-1500+400*5-400+400*2-165-400+400+400+400-45-225+400+400*6-150</f>
        <v>5915</v>
      </c>
      <c r="J15" s="52"/>
      <c r="K15" s="8"/>
      <c r="L15" s="8">
        <f t="shared" si="0"/>
        <v>66465</v>
      </c>
      <c r="M15" s="29">
        <f>SUM(O15:DS15)</f>
        <v>63665</v>
      </c>
      <c r="N15" s="29">
        <f t="shared" si="1"/>
        <v>2800</v>
      </c>
      <c r="O15" s="8"/>
      <c r="P15" s="12"/>
      <c r="Q15" s="12"/>
      <c r="R15" s="12"/>
      <c r="S15" s="12"/>
      <c r="T15" s="12"/>
      <c r="U15" s="8"/>
      <c r="V15" s="8">
        <v>2000</v>
      </c>
      <c r="W15" s="8">
        <v>1000</v>
      </c>
      <c r="X15" s="8">
        <v>1000</v>
      </c>
      <c r="Y15" s="8">
        <v>2000</v>
      </c>
      <c r="Z15" s="8">
        <v>2000</v>
      </c>
      <c r="AA15" s="8">
        <v>2000</v>
      </c>
      <c r="AB15" s="8">
        <v>2000</v>
      </c>
      <c r="AC15" s="8">
        <f>2000-1500</f>
        <v>500</v>
      </c>
      <c r="AD15" s="29">
        <v>2000</v>
      </c>
      <c r="AE15" s="8">
        <v>2000</v>
      </c>
      <c r="AF15" s="8">
        <v>2000</v>
      </c>
      <c r="AG15" s="8">
        <f>2000-1500</f>
        <v>500</v>
      </c>
      <c r="AH15" s="8">
        <f>2500/2</f>
        <v>1250</v>
      </c>
      <c r="AI15" s="8">
        <v>2500</v>
      </c>
      <c r="AJ15" s="8">
        <v>2500</v>
      </c>
      <c r="AK15" s="8">
        <v>2500</v>
      </c>
      <c r="AL15" s="8">
        <f>2500-2000</f>
        <v>500</v>
      </c>
      <c r="AM15" s="8">
        <v>2500</v>
      </c>
      <c r="AN15" s="8">
        <v>2500</v>
      </c>
      <c r="AO15" s="8">
        <v>2500</v>
      </c>
      <c r="AP15" s="8">
        <f>2500/2</f>
        <v>1250</v>
      </c>
      <c r="AQ15" s="8">
        <v>2500</v>
      </c>
      <c r="AR15" s="8">
        <f>2500/2</f>
        <v>1250</v>
      </c>
      <c r="AS15" s="8">
        <f>2500-2000</f>
        <v>500</v>
      </c>
      <c r="AT15" s="8">
        <v>2500</v>
      </c>
      <c r="AU15" s="8">
        <v>2500</v>
      </c>
      <c r="AV15" s="8">
        <v>2500</v>
      </c>
      <c r="AW15" s="8">
        <v>2500</v>
      </c>
      <c r="AX15" s="8">
        <v>2500</v>
      </c>
      <c r="AY15" s="8">
        <v>2500</v>
      </c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39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>
        <v>400</v>
      </c>
      <c r="CA15" s="12"/>
      <c r="CB15" s="12">
        <v>400</v>
      </c>
      <c r="CC15" s="12">
        <v>400</v>
      </c>
      <c r="CD15" s="12">
        <v>400</v>
      </c>
      <c r="CE15" s="12">
        <f>400-400</f>
        <v>0</v>
      </c>
      <c r="CF15" s="12">
        <f>400-165</f>
        <v>235</v>
      </c>
      <c r="CG15" s="12">
        <v>400</v>
      </c>
      <c r="CH15" s="12">
        <v>400</v>
      </c>
      <c r="CI15" s="12">
        <v>400</v>
      </c>
      <c r="CJ15" s="12">
        <f>400-400</f>
        <v>0</v>
      </c>
      <c r="CK15" s="31">
        <v>400</v>
      </c>
      <c r="CL15" s="31">
        <v>400</v>
      </c>
      <c r="CM15" s="31">
        <f>400-45</f>
        <v>355</v>
      </c>
      <c r="CN15" s="31">
        <f>400-225</f>
        <v>175</v>
      </c>
      <c r="CO15" s="31">
        <v>400</v>
      </c>
      <c r="CP15" s="31">
        <f>400-150</f>
        <v>250</v>
      </c>
      <c r="CQ15" s="92"/>
      <c r="CR15" s="29">
        <v>400</v>
      </c>
      <c r="CS15" s="29">
        <v>400</v>
      </c>
      <c r="CT15" s="29">
        <v>400</v>
      </c>
      <c r="CU15" s="29">
        <v>400</v>
      </c>
      <c r="CV15" s="29">
        <v>400</v>
      </c>
      <c r="CW15" s="29">
        <v>400</v>
      </c>
      <c r="CX15" s="180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81"/>
      <c r="DM15" s="181"/>
      <c r="DN15" s="181"/>
      <c r="DO15" s="181"/>
      <c r="DP15" s="181"/>
      <c r="DQ15" s="181"/>
      <c r="DR15" s="12"/>
      <c r="DS15" s="12"/>
      <c r="DT15" s="12"/>
      <c r="DU15" s="12"/>
      <c r="DV15" s="12"/>
      <c r="DW15" s="12"/>
      <c r="DX15" s="55"/>
      <c r="DY15" s="12"/>
      <c r="DZ15" s="12"/>
      <c r="EA15" s="12"/>
      <c r="EB15" s="12"/>
      <c r="EC15" s="12"/>
      <c r="ED15" s="31"/>
      <c r="EE15" s="12"/>
      <c r="EF15" s="12"/>
      <c r="EG15" s="12"/>
      <c r="EH15" s="12"/>
      <c r="EI15" s="12"/>
      <c r="EJ15" s="23"/>
    </row>
    <row r="16" spans="1:140" ht="18" customHeight="1">
      <c r="A16" s="59">
        <v>14</v>
      </c>
      <c r="B16" s="59" t="s">
        <v>1107</v>
      </c>
      <c r="C16" s="51" t="s">
        <v>500</v>
      </c>
      <c r="D16" s="50">
        <f>800+1000+300+300+600+600</f>
        <v>3600</v>
      </c>
      <c r="E16" s="79" t="s">
        <v>1108</v>
      </c>
      <c r="F16" s="81" t="s">
        <v>1109</v>
      </c>
      <c r="G16" s="140">
        <f>2000*4+2000*6+2500*6+2500*6+2500*6</f>
        <v>65000</v>
      </c>
      <c r="H16" s="84" t="s">
        <v>1109</v>
      </c>
      <c r="I16" s="89">
        <f>200*4+400*6+400*6-75+400*6-45+400*6-45-135</f>
        <v>10100</v>
      </c>
      <c r="J16" s="52" t="s">
        <v>1110</v>
      </c>
      <c r="K16" s="8">
        <f>200*6+200*2-60+400*6+400*6+400*6</f>
        <v>8740</v>
      </c>
      <c r="L16" s="8">
        <f t="shared" si="0"/>
        <v>87440</v>
      </c>
      <c r="M16" s="29">
        <f>SUM(O16:EI16)</f>
        <v>83840</v>
      </c>
      <c r="N16" s="29">
        <f t="shared" si="1"/>
        <v>3600</v>
      </c>
      <c r="O16" s="8"/>
      <c r="P16" s="12"/>
      <c r="Q16" s="12"/>
      <c r="R16" s="12"/>
      <c r="S16" s="12"/>
      <c r="T16" s="12"/>
      <c r="U16" s="12"/>
      <c r="V16" s="12"/>
      <c r="W16" s="8">
        <v>1000</v>
      </c>
      <c r="X16" s="8">
        <v>1000</v>
      </c>
      <c r="Y16" s="8">
        <v>2000</v>
      </c>
      <c r="Z16" s="8">
        <v>2000</v>
      </c>
      <c r="AA16" s="8">
        <v>2000</v>
      </c>
      <c r="AB16" s="12">
        <v>2000</v>
      </c>
      <c r="AC16" s="12">
        <v>2000</v>
      </c>
      <c r="AD16" s="31">
        <v>2000</v>
      </c>
      <c r="AE16" s="12">
        <v>2000</v>
      </c>
      <c r="AF16" s="12">
        <v>2000</v>
      </c>
      <c r="AG16" s="12">
        <v>2000</v>
      </c>
      <c r="AH16" s="12">
        <v>2500</v>
      </c>
      <c r="AI16" s="12">
        <v>2500</v>
      </c>
      <c r="AJ16" s="12">
        <v>2500</v>
      </c>
      <c r="AK16" s="12">
        <v>2500</v>
      </c>
      <c r="AL16" s="12">
        <v>2500</v>
      </c>
      <c r="AM16" s="12">
        <v>2500</v>
      </c>
      <c r="AN16" s="12">
        <v>2500</v>
      </c>
      <c r="AO16" s="12">
        <v>2500</v>
      </c>
      <c r="AP16" s="12">
        <v>2500</v>
      </c>
      <c r="AQ16" s="12">
        <v>2500</v>
      </c>
      <c r="AR16" s="12">
        <v>2500</v>
      </c>
      <c r="AS16" s="12">
        <v>2500</v>
      </c>
      <c r="AT16" s="12">
        <v>2500</v>
      </c>
      <c r="AU16" s="12">
        <v>2500</v>
      </c>
      <c r="AV16" s="12">
        <v>2500</v>
      </c>
      <c r="AW16" s="12">
        <v>2500</v>
      </c>
      <c r="AX16" s="12">
        <v>2500</v>
      </c>
      <c r="AY16" s="12">
        <v>2500</v>
      </c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39"/>
      <c r="BM16" s="12"/>
      <c r="BN16" s="12"/>
      <c r="BO16" s="12"/>
      <c r="BP16" s="12"/>
      <c r="BQ16" s="12"/>
      <c r="BR16" s="12"/>
      <c r="BS16" s="12"/>
      <c r="BT16" s="12"/>
      <c r="BU16" s="12">
        <v>100</v>
      </c>
      <c r="BV16" s="12">
        <v>100</v>
      </c>
      <c r="BW16" s="12">
        <v>200</v>
      </c>
      <c r="BX16" s="12">
        <v>200</v>
      </c>
      <c r="BY16" s="12">
        <v>200</v>
      </c>
      <c r="BZ16" s="12">
        <v>400</v>
      </c>
      <c r="CA16" s="31">
        <v>400</v>
      </c>
      <c r="CB16" s="31">
        <f>400-60</f>
        <v>340</v>
      </c>
      <c r="CC16" s="31">
        <v>400</v>
      </c>
      <c r="CD16" s="12">
        <f>400-75</f>
        <v>325</v>
      </c>
      <c r="CE16" s="12">
        <v>400</v>
      </c>
      <c r="CF16" s="12">
        <v>400</v>
      </c>
      <c r="CG16" s="12">
        <v>400</v>
      </c>
      <c r="CH16" s="12">
        <v>400</v>
      </c>
      <c r="CI16" s="12">
        <v>400</v>
      </c>
      <c r="CJ16" s="12">
        <f>400-45</f>
        <v>355</v>
      </c>
      <c r="CK16" s="31">
        <v>400</v>
      </c>
      <c r="CL16" s="31">
        <v>400</v>
      </c>
      <c r="CM16" s="31">
        <v>400</v>
      </c>
      <c r="CN16" s="31">
        <f>400-45</f>
        <v>355</v>
      </c>
      <c r="CO16" s="12">
        <v>400</v>
      </c>
      <c r="CP16" s="12">
        <f>400-135</f>
        <v>265</v>
      </c>
      <c r="CQ16" s="12">
        <v>400</v>
      </c>
      <c r="CR16" s="12">
        <v>400</v>
      </c>
      <c r="CS16" s="12">
        <v>400</v>
      </c>
      <c r="CT16" s="12">
        <v>400</v>
      </c>
      <c r="CU16" s="12">
        <v>400</v>
      </c>
      <c r="CV16" s="12">
        <v>400</v>
      </c>
      <c r="CW16" s="12">
        <v>400</v>
      </c>
      <c r="CX16" s="180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>
        <v>200</v>
      </c>
      <c r="DK16" s="12">
        <v>200</v>
      </c>
      <c r="DL16" s="12">
        <v>200</v>
      </c>
      <c r="DM16" s="12">
        <v>200</v>
      </c>
      <c r="DN16" s="12">
        <v>200</v>
      </c>
      <c r="DO16" s="12">
        <v>200</v>
      </c>
      <c r="DP16" s="12">
        <v>200</v>
      </c>
      <c r="DQ16" s="12">
        <v>200</v>
      </c>
      <c r="DR16" s="12">
        <v>400</v>
      </c>
      <c r="DS16" s="12">
        <v>400</v>
      </c>
      <c r="DT16" s="12">
        <v>400</v>
      </c>
      <c r="DU16" s="12">
        <v>400</v>
      </c>
      <c r="DV16" s="12">
        <v>400</v>
      </c>
      <c r="DW16" s="12">
        <v>400</v>
      </c>
      <c r="DX16" s="12">
        <v>400</v>
      </c>
      <c r="DY16" s="12">
        <v>400</v>
      </c>
      <c r="DZ16" s="12">
        <v>400</v>
      </c>
      <c r="EA16" s="12">
        <v>400</v>
      </c>
      <c r="EB16" s="12">
        <v>400</v>
      </c>
      <c r="EC16" s="12">
        <v>400</v>
      </c>
      <c r="ED16" s="31">
        <v>400</v>
      </c>
      <c r="EE16" s="12">
        <v>400</v>
      </c>
      <c r="EF16" s="12">
        <v>400</v>
      </c>
      <c r="EG16" s="12">
        <v>400</v>
      </c>
      <c r="EH16" s="12">
        <v>400</v>
      </c>
      <c r="EI16" s="12">
        <v>400</v>
      </c>
      <c r="EJ16" s="23"/>
    </row>
    <row r="17" spans="1:140" ht="18" customHeight="1">
      <c r="A17" s="59">
        <v>15</v>
      </c>
      <c r="B17" s="59" t="s">
        <v>1107</v>
      </c>
      <c r="C17" s="51" t="s">
        <v>516</v>
      </c>
      <c r="D17" s="50">
        <f>1500+1000+300+300+600+600</f>
        <v>4300</v>
      </c>
      <c r="E17" s="79" t="s">
        <v>1111</v>
      </c>
      <c r="F17" s="81" t="s">
        <v>1109</v>
      </c>
      <c r="G17" s="140">
        <f>2000*4+2000*6+2500*6-90-1000-135+2500*6+2500*6</f>
        <v>63775</v>
      </c>
      <c r="H17" s="84" t="s">
        <v>1109</v>
      </c>
      <c r="I17" s="89">
        <f>200*4+400*6+400*6-180+400*6-75+400*6-75-150-120-135</f>
        <v>9665</v>
      </c>
      <c r="J17" s="52" t="s">
        <v>1112</v>
      </c>
      <c r="K17" s="8">
        <f>400*3+400*6+400*6</f>
        <v>6000</v>
      </c>
      <c r="L17" s="8">
        <f t="shared" si="0"/>
        <v>83740</v>
      </c>
      <c r="M17" s="29">
        <f>SUM(O17:EI17)</f>
        <v>79440</v>
      </c>
      <c r="N17" s="29">
        <f t="shared" si="1"/>
        <v>4300</v>
      </c>
      <c r="O17" s="8"/>
      <c r="P17" s="12"/>
      <c r="Q17" s="12"/>
      <c r="R17" s="12"/>
      <c r="S17" s="12"/>
      <c r="T17" s="12"/>
      <c r="U17" s="12"/>
      <c r="V17" s="12"/>
      <c r="W17" s="12">
        <v>1000</v>
      </c>
      <c r="X17" s="12">
        <v>1000</v>
      </c>
      <c r="Y17" s="12">
        <v>2000</v>
      </c>
      <c r="Z17" s="12">
        <v>2000</v>
      </c>
      <c r="AA17" s="12">
        <v>2000</v>
      </c>
      <c r="AB17" s="12">
        <v>2000</v>
      </c>
      <c r="AC17" s="12">
        <f>2000/2</f>
        <v>1000</v>
      </c>
      <c r="AD17" s="31">
        <v>2000</v>
      </c>
      <c r="AE17" s="12">
        <v>2000</v>
      </c>
      <c r="AF17" s="12">
        <v>2000</v>
      </c>
      <c r="AG17" s="12">
        <v>2000</v>
      </c>
      <c r="AH17" s="12">
        <v>2500</v>
      </c>
      <c r="AI17" s="12">
        <v>2500</v>
      </c>
      <c r="AJ17" s="12">
        <v>2500</v>
      </c>
      <c r="AK17" s="12">
        <v>2500</v>
      </c>
      <c r="AL17" s="12">
        <v>2500</v>
      </c>
      <c r="AM17" s="12">
        <v>2500</v>
      </c>
      <c r="AN17" s="12">
        <v>2500</v>
      </c>
      <c r="AO17" s="12">
        <v>2500</v>
      </c>
      <c r="AP17" s="12">
        <v>2500</v>
      </c>
      <c r="AQ17" s="12">
        <v>2500</v>
      </c>
      <c r="AR17" s="12">
        <v>2500</v>
      </c>
      <c r="AS17" s="12">
        <v>2500</v>
      </c>
      <c r="AT17" s="12">
        <v>2500</v>
      </c>
      <c r="AU17" s="12">
        <v>2500</v>
      </c>
      <c r="AV17" s="12">
        <v>2500</v>
      </c>
      <c r="AW17" s="12">
        <v>2500</v>
      </c>
      <c r="AX17" s="12">
        <v>2500</v>
      </c>
      <c r="AY17" s="12">
        <v>2500</v>
      </c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39"/>
      <c r="BM17" s="12"/>
      <c r="BN17" s="12"/>
      <c r="BO17" s="12"/>
      <c r="BP17" s="12"/>
      <c r="BQ17" s="12"/>
      <c r="BR17" s="12"/>
      <c r="BS17" s="12"/>
      <c r="BT17" s="12"/>
      <c r="BU17" s="12">
        <v>100</v>
      </c>
      <c r="BV17" s="12">
        <v>100</v>
      </c>
      <c r="BW17" s="12">
        <v>200</v>
      </c>
      <c r="BX17" s="12">
        <v>200</v>
      </c>
      <c r="BY17" s="12">
        <v>200</v>
      </c>
      <c r="BZ17" s="12">
        <f>400-90</f>
        <v>310</v>
      </c>
      <c r="CA17" s="31">
        <f>400-135</f>
        <v>265</v>
      </c>
      <c r="CB17" s="31">
        <v>400</v>
      </c>
      <c r="CC17" s="31">
        <v>400</v>
      </c>
      <c r="CD17" s="12">
        <f>400-180</f>
        <v>220</v>
      </c>
      <c r="CE17" s="12">
        <v>400</v>
      </c>
      <c r="CF17" s="12">
        <v>400</v>
      </c>
      <c r="CG17" s="12">
        <v>400</v>
      </c>
      <c r="CH17" s="12">
        <v>400</v>
      </c>
      <c r="CI17" s="12">
        <v>400</v>
      </c>
      <c r="CJ17" s="12">
        <f>400-75</f>
        <v>325</v>
      </c>
      <c r="CK17" s="31">
        <v>400</v>
      </c>
      <c r="CL17" s="31">
        <f>400-75</f>
        <v>325</v>
      </c>
      <c r="CM17" s="31">
        <v>400</v>
      </c>
      <c r="CN17" s="31">
        <f>400-150</f>
        <v>250</v>
      </c>
      <c r="CO17" s="12">
        <f>400-120</f>
        <v>280</v>
      </c>
      <c r="CP17" s="12">
        <f>400-135</f>
        <v>265</v>
      </c>
      <c r="CQ17" s="12">
        <v>400</v>
      </c>
      <c r="CR17" s="12">
        <v>400</v>
      </c>
      <c r="CS17" s="12">
        <v>400</v>
      </c>
      <c r="CT17" s="12">
        <v>400</v>
      </c>
      <c r="CU17" s="12">
        <v>400</v>
      </c>
      <c r="CV17" s="12">
        <v>400</v>
      </c>
      <c r="CW17" s="12">
        <v>400</v>
      </c>
      <c r="CX17" s="180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81"/>
      <c r="DM17" s="181"/>
      <c r="DN17" s="181"/>
      <c r="DO17" s="181"/>
      <c r="DP17" s="181"/>
      <c r="DQ17" s="181"/>
      <c r="DR17" s="12"/>
      <c r="DS17" s="12"/>
      <c r="DT17" s="12"/>
      <c r="DU17" s="12">
        <v>400</v>
      </c>
      <c r="DV17" s="12">
        <v>400</v>
      </c>
      <c r="DW17" s="12">
        <v>400</v>
      </c>
      <c r="DX17" s="12">
        <v>400</v>
      </c>
      <c r="DY17" s="12">
        <v>400</v>
      </c>
      <c r="DZ17" s="12">
        <v>400</v>
      </c>
      <c r="EA17" s="12">
        <v>400</v>
      </c>
      <c r="EB17" s="12">
        <v>400</v>
      </c>
      <c r="EC17" s="12">
        <v>400</v>
      </c>
      <c r="ED17" s="31">
        <v>400</v>
      </c>
      <c r="EE17" s="12">
        <v>400</v>
      </c>
      <c r="EF17" s="12">
        <v>400</v>
      </c>
      <c r="EG17" s="12">
        <v>400</v>
      </c>
      <c r="EH17" s="12">
        <v>400</v>
      </c>
      <c r="EI17" s="12">
        <v>400</v>
      </c>
      <c r="EJ17" s="23"/>
    </row>
    <row r="18" spans="1:140" ht="18" customHeight="1">
      <c r="A18" s="59">
        <v>16</v>
      </c>
      <c r="B18" s="59" t="s">
        <v>1107</v>
      </c>
      <c r="C18" s="51" t="s">
        <v>1113</v>
      </c>
      <c r="D18" s="50">
        <f>800+1000+300+300+600+600</f>
        <v>3600</v>
      </c>
      <c r="E18" s="79" t="s">
        <v>1114</v>
      </c>
      <c r="F18" s="81" t="s">
        <v>1109</v>
      </c>
      <c r="G18" s="140">
        <f>2000*6+2000*6-4000+2500*6-855-1000-1500+2500*6-1250-2000+2500*6-2000</f>
        <v>56395</v>
      </c>
      <c r="H18" s="84" t="s">
        <v>1115</v>
      </c>
      <c r="I18" s="89">
        <f>400*2+400*2+400-135-210+400*3+400+400*2-105-165-105+400*2+400*2-75+400*6-45-75-400</f>
        <v>7085</v>
      </c>
      <c r="J18" s="52" t="s">
        <v>1116</v>
      </c>
      <c r="K18" s="8">
        <f>400+1200-200-200+400*6</f>
        <v>3600</v>
      </c>
      <c r="L18" s="8">
        <f t="shared" si="0"/>
        <v>70680</v>
      </c>
      <c r="M18" s="29">
        <f>SUM(O18:EC18)</f>
        <v>67080</v>
      </c>
      <c r="N18" s="29">
        <f t="shared" si="1"/>
        <v>3600</v>
      </c>
      <c r="O18" s="8"/>
      <c r="P18" s="12"/>
      <c r="Q18" s="12"/>
      <c r="R18" s="12"/>
      <c r="S18" s="12"/>
      <c r="T18" s="12"/>
      <c r="U18" s="12"/>
      <c r="V18" s="12"/>
      <c r="W18" s="12">
        <v>1000</v>
      </c>
      <c r="X18" s="12">
        <v>1000</v>
      </c>
      <c r="Y18" s="12">
        <v>2000</v>
      </c>
      <c r="Z18" s="12">
        <v>2000</v>
      </c>
      <c r="AA18" s="12">
        <v>2000</v>
      </c>
      <c r="AB18" s="12">
        <v>2000</v>
      </c>
      <c r="AC18" s="12">
        <v>2000</v>
      </c>
      <c r="AD18" s="31">
        <f>2000-1000</f>
        <v>1000</v>
      </c>
      <c r="AE18" s="12">
        <v>2000</v>
      </c>
      <c r="AF18" s="12">
        <f>2000/2</f>
        <v>1000</v>
      </c>
      <c r="AG18" s="12">
        <f>2000-1500</f>
        <v>500</v>
      </c>
      <c r="AH18" s="12">
        <v>2500</v>
      </c>
      <c r="AI18" s="12">
        <v>2500</v>
      </c>
      <c r="AJ18" s="12">
        <v>2500</v>
      </c>
      <c r="AK18" s="12">
        <f>2500/2</f>
        <v>1250</v>
      </c>
      <c r="AL18" s="12">
        <v>2500</v>
      </c>
      <c r="AM18" s="12">
        <f>2500-2000</f>
        <v>500</v>
      </c>
      <c r="AN18" s="12">
        <v>2500</v>
      </c>
      <c r="AO18" s="12">
        <v>2500</v>
      </c>
      <c r="AP18" s="12">
        <v>2500</v>
      </c>
      <c r="AQ18" s="12">
        <v>2500</v>
      </c>
      <c r="AR18" s="12">
        <v>2500</v>
      </c>
      <c r="AS18" s="12">
        <f>2500-2000</f>
        <v>500</v>
      </c>
      <c r="AT18" s="12">
        <v>2500</v>
      </c>
      <c r="AU18" s="12">
        <v>2500</v>
      </c>
      <c r="AV18" s="12">
        <v>2500</v>
      </c>
      <c r="AW18" s="12">
        <v>2500</v>
      </c>
      <c r="AX18" s="12">
        <v>2500</v>
      </c>
      <c r="AY18" s="12">
        <v>2500</v>
      </c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39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>
        <f>400-75</f>
        <v>325</v>
      </c>
      <c r="CA18" s="31">
        <f>400</f>
        <v>400</v>
      </c>
      <c r="CB18" s="31">
        <f>400-180</f>
        <v>220</v>
      </c>
      <c r="CC18" s="31">
        <f>400-135</f>
        <v>265</v>
      </c>
      <c r="CD18" s="31">
        <f>400-210</f>
        <v>190</v>
      </c>
      <c r="CE18" s="12"/>
      <c r="CF18" s="12">
        <v>400</v>
      </c>
      <c r="CG18" s="12">
        <v>400</v>
      </c>
      <c r="CH18" s="12">
        <f>400-105</f>
        <v>295</v>
      </c>
      <c r="CI18" s="12">
        <f>400-165</f>
        <v>235</v>
      </c>
      <c r="CJ18" s="12">
        <f>400-105</f>
        <v>295</v>
      </c>
      <c r="CK18" s="31"/>
      <c r="CL18" s="31">
        <v>400</v>
      </c>
      <c r="CM18" s="31">
        <f>400-75</f>
        <v>325</v>
      </c>
      <c r="CN18" s="31">
        <v>400</v>
      </c>
      <c r="CO18" s="31">
        <f>400-45</f>
        <v>355</v>
      </c>
      <c r="CP18" s="31">
        <f>400-75</f>
        <v>325</v>
      </c>
      <c r="CQ18" s="31">
        <f>400-400</f>
        <v>0</v>
      </c>
      <c r="CR18" s="31">
        <v>400</v>
      </c>
      <c r="CS18" s="31">
        <v>400</v>
      </c>
      <c r="CT18" s="31">
        <v>400</v>
      </c>
      <c r="CU18" s="31">
        <v>400</v>
      </c>
      <c r="CV18" s="31">
        <v>400</v>
      </c>
      <c r="CW18" s="31">
        <v>400</v>
      </c>
      <c r="CX18" s="180"/>
      <c r="CY18" s="12"/>
      <c r="CZ18" s="12"/>
      <c r="DA18" s="12"/>
      <c r="DB18" s="12"/>
      <c r="DC18" s="12"/>
      <c r="DD18" s="12"/>
      <c r="DE18" s="12"/>
      <c r="DF18" s="12"/>
      <c r="DG18" s="12">
        <v>100</v>
      </c>
      <c r="DH18" s="12">
        <v>100</v>
      </c>
      <c r="DI18" s="12"/>
      <c r="DJ18" s="12"/>
      <c r="DK18" s="12">
        <v>200</v>
      </c>
      <c r="DL18" s="12">
        <f>200-200</f>
        <v>0</v>
      </c>
      <c r="DM18" s="12">
        <v>200</v>
      </c>
      <c r="DN18" s="12">
        <v>200</v>
      </c>
      <c r="DO18" s="12">
        <v>200</v>
      </c>
      <c r="DP18" s="12">
        <v>200</v>
      </c>
      <c r="DQ18" s="12">
        <f>200-200</f>
        <v>0</v>
      </c>
      <c r="DR18" s="12"/>
      <c r="DS18" s="12"/>
      <c r="DT18" s="12"/>
      <c r="DU18" s="12"/>
      <c r="DV18" s="12"/>
      <c r="DW18" s="12"/>
      <c r="DX18" s="12">
        <v>400</v>
      </c>
      <c r="DY18" s="12">
        <v>400</v>
      </c>
      <c r="DZ18" s="12">
        <v>400</v>
      </c>
      <c r="EA18" s="12">
        <v>400</v>
      </c>
      <c r="EB18" s="12">
        <v>400</v>
      </c>
      <c r="EC18" s="12">
        <v>400</v>
      </c>
      <c r="ED18" s="31"/>
      <c r="EE18" s="12"/>
      <c r="EF18" s="12"/>
      <c r="EG18" s="12"/>
      <c r="EH18" s="12"/>
      <c r="EI18" s="12"/>
      <c r="EJ18" s="23"/>
    </row>
    <row r="19" spans="1:140" ht="18" customHeight="1">
      <c r="A19" s="59">
        <v>17</v>
      </c>
      <c r="B19" s="59" t="s">
        <v>1107</v>
      </c>
      <c r="C19" s="51" t="s">
        <v>1117</v>
      </c>
      <c r="D19" s="50">
        <f>800+1000+300+300+600+400</f>
        <v>3400</v>
      </c>
      <c r="E19" s="79" t="s">
        <v>1118</v>
      </c>
      <c r="F19" s="81" t="s">
        <v>1119</v>
      </c>
      <c r="G19" s="140">
        <f>2000*4+2000*6+2500*6-1000-1500+2500*6-2000+2500*4-1250-2000</f>
        <v>52250</v>
      </c>
      <c r="H19" s="84" t="s">
        <v>1120</v>
      </c>
      <c r="I19" s="89">
        <f>200*4+400+400+400+400+400+400+400*6-195-400-60+400*6-135-400+400*4-105-225-400</f>
        <v>7680</v>
      </c>
      <c r="J19" s="52"/>
      <c r="K19" s="8"/>
      <c r="L19" s="8">
        <f t="shared" si="0"/>
        <v>63330</v>
      </c>
      <c r="M19" s="29">
        <f>SUM(O19:DS19)</f>
        <v>59930</v>
      </c>
      <c r="N19" s="29">
        <f t="shared" si="1"/>
        <v>3400</v>
      </c>
      <c r="O19" s="8"/>
      <c r="P19" s="12"/>
      <c r="Q19" s="12"/>
      <c r="R19" s="12"/>
      <c r="S19" s="12"/>
      <c r="T19" s="12"/>
      <c r="U19" s="12"/>
      <c r="V19" s="12"/>
      <c r="W19" s="12">
        <v>1000</v>
      </c>
      <c r="X19" s="12">
        <v>1000</v>
      </c>
      <c r="Y19" s="12">
        <v>2000</v>
      </c>
      <c r="Z19" s="12">
        <v>2000</v>
      </c>
      <c r="AA19" s="12">
        <v>2000</v>
      </c>
      <c r="AB19" s="12">
        <v>2000</v>
      </c>
      <c r="AC19" s="12">
        <v>2000</v>
      </c>
      <c r="AD19" s="31">
        <v>2000</v>
      </c>
      <c r="AE19" s="12">
        <v>2000</v>
      </c>
      <c r="AF19" s="12">
        <f>2000/2</f>
        <v>1000</v>
      </c>
      <c r="AG19" s="12">
        <f>2000-1500</f>
        <v>500</v>
      </c>
      <c r="AH19" s="12">
        <v>2500</v>
      </c>
      <c r="AI19" s="12">
        <v>2500</v>
      </c>
      <c r="AJ19" s="12">
        <v>2500</v>
      </c>
      <c r="AK19" s="12">
        <v>2500</v>
      </c>
      <c r="AL19" s="12">
        <v>2500</v>
      </c>
      <c r="AM19" s="12">
        <f>2500-2000</f>
        <v>500</v>
      </c>
      <c r="AN19" s="12">
        <v>2500</v>
      </c>
      <c r="AO19" s="12">
        <v>2500</v>
      </c>
      <c r="AP19" s="12">
        <v>2500</v>
      </c>
      <c r="AQ19" s="12">
        <v>2500</v>
      </c>
      <c r="AR19" s="12">
        <f>2500/2</f>
        <v>1250</v>
      </c>
      <c r="AS19" s="12">
        <f>2500-2000</f>
        <v>500</v>
      </c>
      <c r="AT19" s="12">
        <v>2500</v>
      </c>
      <c r="AU19" s="12">
        <v>2500</v>
      </c>
      <c r="AV19" s="12">
        <v>2500</v>
      </c>
      <c r="AW19" s="12">
        <v>2500</v>
      </c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39"/>
      <c r="BM19" s="12"/>
      <c r="BN19" s="12"/>
      <c r="BO19" s="12"/>
      <c r="BP19" s="12"/>
      <c r="BQ19" s="12"/>
      <c r="BR19" s="12"/>
      <c r="BS19" s="12"/>
      <c r="BT19" s="12"/>
      <c r="BU19" s="12">
        <v>100</v>
      </c>
      <c r="BV19" s="12">
        <v>100</v>
      </c>
      <c r="BW19" s="12">
        <v>200</v>
      </c>
      <c r="BX19" s="12">
        <v>200</v>
      </c>
      <c r="BY19" s="12">
        <v>200</v>
      </c>
      <c r="BZ19" s="12">
        <v>400</v>
      </c>
      <c r="CA19" s="31">
        <v>400</v>
      </c>
      <c r="CB19" s="31">
        <v>400</v>
      </c>
      <c r="CC19" s="31">
        <v>400</v>
      </c>
      <c r="CD19" s="31">
        <f>400-195</f>
        <v>205</v>
      </c>
      <c r="CE19" s="31">
        <f>400-400</f>
        <v>0</v>
      </c>
      <c r="CF19" s="31">
        <v>400</v>
      </c>
      <c r="CG19" s="31">
        <f>400-60</f>
        <v>340</v>
      </c>
      <c r="CH19" s="31">
        <v>400</v>
      </c>
      <c r="CI19" s="31">
        <v>400</v>
      </c>
      <c r="CJ19" s="31">
        <f>400-135</f>
        <v>265</v>
      </c>
      <c r="CK19" s="31">
        <f>400-400</f>
        <v>0</v>
      </c>
      <c r="CL19" s="31">
        <f>400-105</f>
        <v>295</v>
      </c>
      <c r="CM19" s="31">
        <v>400</v>
      </c>
      <c r="CN19" s="31">
        <v>400</v>
      </c>
      <c r="CO19" s="31">
        <v>400</v>
      </c>
      <c r="CP19" s="31">
        <f>400-225</f>
        <v>175</v>
      </c>
      <c r="CQ19" s="31">
        <f>400-400</f>
        <v>0</v>
      </c>
      <c r="CR19" s="31">
        <v>400</v>
      </c>
      <c r="CS19" s="31">
        <v>400</v>
      </c>
      <c r="CT19" s="31">
        <v>400</v>
      </c>
      <c r="CU19" s="31">
        <v>400</v>
      </c>
      <c r="CV19" s="31"/>
      <c r="CW19" s="31"/>
      <c r="CX19" s="180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81"/>
      <c r="DM19" s="181"/>
      <c r="DN19" s="181"/>
      <c r="DO19" s="181"/>
      <c r="DP19" s="181"/>
      <c r="DQ19" s="181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31"/>
      <c r="EE19" s="12"/>
      <c r="EF19" s="12"/>
      <c r="EG19" s="12"/>
      <c r="EH19" s="12"/>
      <c r="EI19" s="12"/>
      <c r="EJ19" s="23"/>
    </row>
    <row r="20" spans="1:140" s="28" customFormat="1" ht="18" customHeight="1">
      <c r="A20" s="59">
        <v>18</v>
      </c>
      <c r="B20" s="52" t="s">
        <v>1107</v>
      </c>
      <c r="C20" s="51" t="s">
        <v>1121</v>
      </c>
      <c r="D20" s="50">
        <f>1200+300+300+600+600</f>
        <v>3000</v>
      </c>
      <c r="E20" s="52" t="s">
        <v>1122</v>
      </c>
      <c r="F20" s="52" t="s">
        <v>1123</v>
      </c>
      <c r="G20" s="140">
        <f>2000*6+2500*18*0.9-1000-1500-1500-1125-1750-1750</f>
        <v>43875</v>
      </c>
      <c r="H20" s="52" t="s">
        <v>1123</v>
      </c>
      <c r="I20" s="89">
        <f>400*6+400*6-45-75-165-400+400*6-400-75-90-75-285-400+400*6-75-400-120</f>
        <v>6995</v>
      </c>
      <c r="J20" s="52" t="s">
        <v>1124</v>
      </c>
      <c r="K20" s="8">
        <f>200*6-200-200+400*4+400*2+400*4</f>
        <v>4800</v>
      </c>
      <c r="L20" s="8">
        <f t="shared" si="0"/>
        <v>58670</v>
      </c>
      <c r="M20" s="29">
        <f>SUM(O20:EI20)</f>
        <v>55670</v>
      </c>
      <c r="N20" s="29">
        <f t="shared" si="1"/>
        <v>3000</v>
      </c>
      <c r="AB20" s="31">
        <v>2000</v>
      </c>
      <c r="AC20" s="31">
        <v>2000</v>
      </c>
      <c r="AD20" s="31">
        <v>2000</v>
      </c>
      <c r="AE20" s="31">
        <f>2000/2</f>
        <v>1000</v>
      </c>
      <c r="AF20" s="31">
        <f>2000-1500</f>
        <v>500</v>
      </c>
      <c r="AG20" s="31">
        <f>2000-1500</f>
        <v>500</v>
      </c>
      <c r="AH20" s="31">
        <v>2250</v>
      </c>
      <c r="AI20" s="31">
        <v>2250</v>
      </c>
      <c r="AJ20" s="31">
        <v>2250</v>
      </c>
      <c r="AK20" s="31">
        <v>2250</v>
      </c>
      <c r="AL20" s="31">
        <f>2250/2</f>
        <v>1125</v>
      </c>
      <c r="AM20" s="31">
        <f>2250-1750</f>
        <v>500</v>
      </c>
      <c r="AN20" s="31">
        <v>2250</v>
      </c>
      <c r="AO20" s="31">
        <v>2250</v>
      </c>
      <c r="AP20" s="31">
        <f>2250-1750</f>
        <v>500</v>
      </c>
      <c r="AQ20" s="31">
        <v>2250</v>
      </c>
      <c r="AR20" s="31">
        <v>2250</v>
      </c>
      <c r="AS20" s="31">
        <v>2250</v>
      </c>
      <c r="AT20" s="31">
        <v>2250</v>
      </c>
      <c r="AU20" s="31">
        <v>2250</v>
      </c>
      <c r="AV20" s="31">
        <v>2250</v>
      </c>
      <c r="AW20" s="31">
        <v>2250</v>
      </c>
      <c r="AX20" s="31">
        <v>2250</v>
      </c>
      <c r="AY20" s="31">
        <v>2250</v>
      </c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40"/>
      <c r="BY20" s="12"/>
      <c r="BZ20" s="12">
        <f>400-45</f>
        <v>355</v>
      </c>
      <c r="CA20" s="12">
        <f>400-75</f>
        <v>325</v>
      </c>
      <c r="CB20" s="12">
        <v>400</v>
      </c>
      <c r="CC20" s="12">
        <f>400-165</f>
        <v>235</v>
      </c>
      <c r="CD20" s="12">
        <f>400-400</f>
        <v>0</v>
      </c>
      <c r="CE20" s="12">
        <f>400-400</f>
        <v>0</v>
      </c>
      <c r="CF20" s="12">
        <v>400</v>
      </c>
      <c r="CG20" s="12">
        <f>400-75</f>
        <v>325</v>
      </c>
      <c r="CH20" s="12">
        <f>400-90</f>
        <v>310</v>
      </c>
      <c r="CI20" s="12">
        <f>400-75</f>
        <v>325</v>
      </c>
      <c r="CJ20" s="12">
        <f>400-285</f>
        <v>115</v>
      </c>
      <c r="CK20" s="31">
        <f>400-400</f>
        <v>0</v>
      </c>
      <c r="CL20" s="31">
        <v>400</v>
      </c>
      <c r="CM20" s="31">
        <f>400-75</f>
        <v>325</v>
      </c>
      <c r="CN20" s="31">
        <f>400-400</f>
        <v>0</v>
      </c>
      <c r="CO20" s="12">
        <f>400-120</f>
        <v>280</v>
      </c>
      <c r="CP20" s="12">
        <v>400</v>
      </c>
      <c r="CQ20" s="12">
        <v>400</v>
      </c>
      <c r="CR20" s="12">
        <v>400</v>
      </c>
      <c r="CS20" s="12">
        <v>400</v>
      </c>
      <c r="CT20" s="12">
        <v>400</v>
      </c>
      <c r="CU20" s="12">
        <v>400</v>
      </c>
      <c r="CV20" s="12">
        <v>400</v>
      </c>
      <c r="CW20" s="12">
        <v>400</v>
      </c>
      <c r="CX20" s="40"/>
      <c r="DK20" s="12"/>
      <c r="DL20" s="12">
        <v>200</v>
      </c>
      <c r="DM20" s="12">
        <v>200</v>
      </c>
      <c r="DN20" s="12">
        <v>200</v>
      </c>
      <c r="DO20" s="12">
        <v>200</v>
      </c>
      <c r="DP20" s="12">
        <f>200-200</f>
        <v>0</v>
      </c>
      <c r="DQ20" s="12">
        <f>200-200</f>
        <v>0</v>
      </c>
      <c r="DR20" s="12"/>
      <c r="DS20" s="12"/>
      <c r="DT20" s="12"/>
      <c r="DU20" s="12"/>
      <c r="DV20" s="12"/>
      <c r="DW20" s="12"/>
      <c r="DX20" s="12"/>
      <c r="DY20" s="12"/>
      <c r="DZ20" s="12">
        <v>400</v>
      </c>
      <c r="EA20" s="12">
        <v>400</v>
      </c>
      <c r="EB20" s="12">
        <v>400</v>
      </c>
      <c r="EC20" s="12">
        <v>400</v>
      </c>
      <c r="ED20" s="31">
        <v>400</v>
      </c>
      <c r="EE20" s="12">
        <v>400</v>
      </c>
      <c r="EF20" s="12">
        <v>400</v>
      </c>
      <c r="EG20" s="12">
        <v>400</v>
      </c>
      <c r="EH20" s="12">
        <v>400</v>
      </c>
      <c r="EI20" s="12">
        <v>400</v>
      </c>
    </row>
    <row r="21" spans="1:140" s="32" customFormat="1" ht="18" customHeight="1">
      <c r="A21" s="59">
        <v>19</v>
      </c>
      <c r="B21" s="52" t="s">
        <v>1107</v>
      </c>
      <c r="C21" s="51" t="s">
        <v>541</v>
      </c>
      <c r="D21" s="50">
        <f>1200+300+300+300+600+600</f>
        <v>3300</v>
      </c>
      <c r="E21" s="80" t="s">
        <v>1125</v>
      </c>
      <c r="F21" s="52" t="s">
        <v>1101</v>
      </c>
      <c r="G21" s="140">
        <f>2000*9+2500*18*0.9</f>
        <v>58500</v>
      </c>
      <c r="H21" s="52" t="s">
        <v>1084</v>
      </c>
      <c r="I21" s="89">
        <f>360*3+400*6+400*6-105-105-105+400*3-45-45-75-75+400*3+400*6-75</f>
        <v>10050</v>
      </c>
      <c r="J21" s="52"/>
      <c r="K21" s="8"/>
      <c r="L21" s="29">
        <f t="shared" si="0"/>
        <v>71850</v>
      </c>
      <c r="M21" s="29">
        <f>SUM(O21:DS21)</f>
        <v>68550</v>
      </c>
      <c r="N21" s="29">
        <f t="shared" si="1"/>
        <v>3300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31">
        <f>2000</f>
        <v>2000</v>
      </c>
      <c r="Z21" s="31">
        <v>2000</v>
      </c>
      <c r="AA21" s="31">
        <v>2000</v>
      </c>
      <c r="AB21" s="31">
        <v>2000</v>
      </c>
      <c r="AC21" s="31">
        <v>2000</v>
      </c>
      <c r="AD21" s="31">
        <v>2000</v>
      </c>
      <c r="AE21" s="31">
        <v>2000</v>
      </c>
      <c r="AF21" s="31">
        <v>2000</v>
      </c>
      <c r="AG21" s="31">
        <v>2000</v>
      </c>
      <c r="AH21" s="31">
        <v>2250</v>
      </c>
      <c r="AI21" s="31">
        <v>2250</v>
      </c>
      <c r="AJ21" s="31">
        <v>2250</v>
      </c>
      <c r="AK21" s="31">
        <v>2250</v>
      </c>
      <c r="AL21" s="31">
        <v>2250</v>
      </c>
      <c r="AM21" s="31">
        <v>2250</v>
      </c>
      <c r="AN21" s="31">
        <v>2250</v>
      </c>
      <c r="AO21" s="31">
        <v>2250</v>
      </c>
      <c r="AP21" s="31">
        <v>2250</v>
      </c>
      <c r="AQ21" s="31">
        <v>2250</v>
      </c>
      <c r="AR21" s="31">
        <v>2250</v>
      </c>
      <c r="AS21" s="31">
        <v>2250</v>
      </c>
      <c r="AT21" s="31">
        <v>2250</v>
      </c>
      <c r="AU21" s="31">
        <v>2250</v>
      </c>
      <c r="AV21" s="31">
        <v>2250</v>
      </c>
      <c r="AW21" s="31">
        <v>2250</v>
      </c>
      <c r="AX21" s="31">
        <v>2250</v>
      </c>
      <c r="AY21" s="31">
        <v>2250</v>
      </c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9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>
        <v>360</v>
      </c>
      <c r="BX21" s="31">
        <v>360</v>
      </c>
      <c r="BY21" s="12">
        <v>360</v>
      </c>
      <c r="BZ21" s="12">
        <v>400</v>
      </c>
      <c r="CA21" s="12">
        <v>400</v>
      </c>
      <c r="CB21" s="12">
        <v>400</v>
      </c>
      <c r="CC21" s="12">
        <f>400-105</f>
        <v>295</v>
      </c>
      <c r="CD21" s="12">
        <f>400-105</f>
        <v>295</v>
      </c>
      <c r="CE21" s="12">
        <f>400-105</f>
        <v>295</v>
      </c>
      <c r="CF21" s="12">
        <f>400-45</f>
        <v>355</v>
      </c>
      <c r="CG21" s="12">
        <f>400-45</f>
        <v>355</v>
      </c>
      <c r="CH21" s="12">
        <v>400</v>
      </c>
      <c r="CI21" s="12">
        <v>400</v>
      </c>
      <c r="CJ21" s="12">
        <f>400-75</f>
        <v>325</v>
      </c>
      <c r="CK21" s="31">
        <f>400-75</f>
        <v>325</v>
      </c>
      <c r="CL21" s="31">
        <v>400</v>
      </c>
      <c r="CM21" s="31">
        <v>400</v>
      </c>
      <c r="CN21" s="31">
        <v>400</v>
      </c>
      <c r="CO21" s="31">
        <v>400</v>
      </c>
      <c r="CP21" s="31">
        <f>400-75</f>
        <v>325</v>
      </c>
      <c r="CQ21" s="31">
        <v>400</v>
      </c>
      <c r="CR21" s="31">
        <v>400</v>
      </c>
      <c r="CS21" s="31">
        <v>400</v>
      </c>
      <c r="CT21" s="31">
        <v>400</v>
      </c>
      <c r="CU21" s="31">
        <v>400</v>
      </c>
      <c r="CV21" s="31">
        <v>400</v>
      </c>
      <c r="CW21" s="31">
        <v>400</v>
      </c>
      <c r="CX21" s="180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31"/>
      <c r="EE21" s="12"/>
      <c r="EF21" s="12"/>
      <c r="EG21" s="12"/>
      <c r="EH21" s="12"/>
      <c r="EI21" s="12"/>
      <c r="EJ21" s="28"/>
    </row>
    <row r="22" spans="1:140" s="32" customFormat="1" ht="18" customHeight="1">
      <c r="A22" s="59">
        <v>20</v>
      </c>
      <c r="B22" s="52" t="s">
        <v>1069</v>
      </c>
      <c r="C22" s="54" t="s">
        <v>1126</v>
      </c>
      <c r="D22" s="50">
        <f>1200+300+300+600+600</f>
        <v>3000</v>
      </c>
      <c r="E22" s="80" t="s">
        <v>1127</v>
      </c>
      <c r="F22" s="52" t="s">
        <v>1128</v>
      </c>
      <c r="G22" s="140">
        <f>2500*8+2500*6-1250-2000-2000+2500*6-2000+2500*6</f>
        <v>57750</v>
      </c>
      <c r="H22" s="52" t="s">
        <v>1129</v>
      </c>
      <c r="I22" s="89">
        <f>400+400+400+400-45+400+400-150+400+400-400-165+400*3+400-75+400-60-75+400+400*2+400*2-60+400*6-135</f>
        <v>8435</v>
      </c>
      <c r="J22" s="52" t="s">
        <v>1130</v>
      </c>
      <c r="K22" s="8">
        <f>200*6-200-200</f>
        <v>800</v>
      </c>
      <c r="L22" s="29">
        <f t="shared" si="0"/>
        <v>69985</v>
      </c>
      <c r="M22" s="29">
        <f>SUM(O22:DS22)</f>
        <v>66985</v>
      </c>
      <c r="N22" s="29">
        <f t="shared" si="1"/>
        <v>3000</v>
      </c>
      <c r="O22" s="29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>
        <v>2500</v>
      </c>
      <c r="AA22" s="31">
        <v>2500</v>
      </c>
      <c r="AB22" s="31">
        <v>2500</v>
      </c>
      <c r="AC22" s="31">
        <v>2500</v>
      </c>
      <c r="AD22" s="31">
        <v>2500</v>
      </c>
      <c r="AE22" s="31">
        <f>2500/2</f>
        <v>1250</v>
      </c>
      <c r="AF22" s="31">
        <f>2500-2000</f>
        <v>500</v>
      </c>
      <c r="AG22" s="31">
        <f>2500-2000</f>
        <v>500</v>
      </c>
      <c r="AH22" s="31">
        <v>2500</v>
      </c>
      <c r="AI22" s="31">
        <v>2500</v>
      </c>
      <c r="AJ22" s="31">
        <v>2500</v>
      </c>
      <c r="AK22" s="31">
        <v>2500</v>
      </c>
      <c r="AL22" s="31">
        <v>2500</v>
      </c>
      <c r="AM22" s="31">
        <f>2500-2000</f>
        <v>500</v>
      </c>
      <c r="AN22" s="31">
        <v>2500</v>
      </c>
      <c r="AO22" s="31">
        <v>2500</v>
      </c>
      <c r="AP22" s="31">
        <v>2500</v>
      </c>
      <c r="AQ22" s="31">
        <v>2500</v>
      </c>
      <c r="AR22" s="31">
        <v>2500</v>
      </c>
      <c r="AS22" s="31">
        <v>2500</v>
      </c>
      <c r="AT22" s="31">
        <v>2500</v>
      </c>
      <c r="AU22" s="31">
        <v>2500</v>
      </c>
      <c r="AV22" s="31">
        <v>2500</v>
      </c>
      <c r="AW22" s="31">
        <v>2500</v>
      </c>
      <c r="AX22" s="31">
        <v>2500</v>
      </c>
      <c r="AY22" s="31">
        <v>2500</v>
      </c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9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>
        <v>400</v>
      </c>
      <c r="BY22" s="12">
        <f>400-45</f>
        <v>355</v>
      </c>
      <c r="BZ22" s="12">
        <f>400-150</f>
        <v>250</v>
      </c>
      <c r="CA22" s="12">
        <v>400</v>
      </c>
      <c r="CB22" s="12">
        <v>400</v>
      </c>
      <c r="CC22" s="12">
        <f>400-165</f>
        <v>235</v>
      </c>
      <c r="CD22" s="12">
        <f>400-400</f>
        <v>0</v>
      </c>
      <c r="CE22" s="12"/>
      <c r="CF22" s="12">
        <v>400</v>
      </c>
      <c r="CG22" s="12">
        <v>400</v>
      </c>
      <c r="CH22" s="12">
        <f>400-75</f>
        <v>325</v>
      </c>
      <c r="CI22" s="12">
        <f>400-60</f>
        <v>340</v>
      </c>
      <c r="CJ22" s="12">
        <f>400-75</f>
        <v>325</v>
      </c>
      <c r="CK22" s="31"/>
      <c r="CL22" s="31">
        <v>400</v>
      </c>
      <c r="CM22" s="31">
        <f>400-60</f>
        <v>340</v>
      </c>
      <c r="CN22" s="31">
        <v>400</v>
      </c>
      <c r="CO22" s="31">
        <v>400</v>
      </c>
      <c r="CP22" s="31">
        <v>400</v>
      </c>
      <c r="CQ22" s="31">
        <f>400-135</f>
        <v>265</v>
      </c>
      <c r="CR22" s="31">
        <v>400</v>
      </c>
      <c r="CS22" s="31">
        <v>400</v>
      </c>
      <c r="CT22" s="31">
        <v>400</v>
      </c>
      <c r="CU22" s="31">
        <v>400</v>
      </c>
      <c r="CV22" s="31">
        <v>400</v>
      </c>
      <c r="CW22" s="31">
        <v>400</v>
      </c>
      <c r="CX22" s="180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12"/>
      <c r="DL22" s="12">
        <v>200</v>
      </c>
      <c r="DM22" s="12">
        <v>200</v>
      </c>
      <c r="DN22" s="12">
        <v>200</v>
      </c>
      <c r="DO22" s="12">
        <v>200</v>
      </c>
      <c r="DP22" s="12">
        <f>200-200</f>
        <v>0</v>
      </c>
      <c r="DQ22" s="12">
        <f>200-200</f>
        <v>0</v>
      </c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31"/>
      <c r="EE22" s="12"/>
      <c r="EF22" s="12"/>
      <c r="EG22" s="12"/>
      <c r="EH22" s="12"/>
      <c r="EI22" s="12"/>
      <c r="EJ22" s="28"/>
    </row>
    <row r="23" spans="1:140" s="32" customFormat="1" ht="18" customHeight="1">
      <c r="A23" s="59">
        <v>21</v>
      </c>
      <c r="B23" s="52" t="s">
        <v>1069</v>
      </c>
      <c r="C23" s="51" t="s">
        <v>1131</v>
      </c>
      <c r="D23" s="50">
        <f>1200+300*2+600+600</f>
        <v>3000</v>
      </c>
      <c r="E23" s="80" t="s">
        <v>1132</v>
      </c>
      <c r="F23" s="52" t="s">
        <v>1128</v>
      </c>
      <c r="G23" s="141">
        <f>2000*26-1000-1000-1000-1000-1000-1000</f>
        <v>46000</v>
      </c>
      <c r="H23" s="52" t="s">
        <v>1128</v>
      </c>
      <c r="I23" s="89">
        <f>400+400*5+400*2-120-45-45+400*3-225+400-60+400*2-180+400*2-135-120+190+400*3-195+400*6-90-60</f>
        <v>8915</v>
      </c>
      <c r="J23" s="52" t="s">
        <v>1133</v>
      </c>
      <c r="K23" s="8">
        <f>400*6</f>
        <v>2400</v>
      </c>
      <c r="L23" s="30">
        <f t="shared" si="0"/>
        <v>60315</v>
      </c>
      <c r="M23" s="29">
        <f>SUM(O23:EI23)</f>
        <v>57315</v>
      </c>
      <c r="N23" s="29">
        <f t="shared" si="1"/>
        <v>3000</v>
      </c>
      <c r="O23" s="29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>
        <v>2000</v>
      </c>
      <c r="AA23" s="31">
        <v>2000</v>
      </c>
      <c r="AB23" s="31">
        <v>2000</v>
      </c>
      <c r="AC23" s="31">
        <v>2000</v>
      </c>
      <c r="AD23" s="31">
        <v>2000</v>
      </c>
      <c r="AE23" s="31">
        <v>2000</v>
      </c>
      <c r="AF23" s="31">
        <v>2000</v>
      </c>
      <c r="AG23" s="31">
        <f>2000/2</f>
        <v>1000</v>
      </c>
      <c r="AH23" s="31">
        <v>2000</v>
      </c>
      <c r="AI23" s="31">
        <v>2000</v>
      </c>
      <c r="AJ23" s="31">
        <f>2000/2</f>
        <v>1000</v>
      </c>
      <c r="AK23" s="31">
        <v>2000</v>
      </c>
      <c r="AL23" s="31">
        <f>2000-1000</f>
        <v>1000</v>
      </c>
      <c r="AM23" s="31">
        <v>2000</v>
      </c>
      <c r="AN23" s="31">
        <v>2000</v>
      </c>
      <c r="AO23" s="31">
        <v>2000</v>
      </c>
      <c r="AP23" s="31">
        <f>2000-1000</f>
        <v>1000</v>
      </c>
      <c r="AQ23" s="31">
        <v>2000</v>
      </c>
      <c r="AR23" s="31">
        <f>2000/2</f>
        <v>1000</v>
      </c>
      <c r="AS23" s="31">
        <f>2000-1000</f>
        <v>1000</v>
      </c>
      <c r="AT23" s="31">
        <v>2000</v>
      </c>
      <c r="AU23" s="31">
        <v>2000</v>
      </c>
      <c r="AV23" s="31">
        <v>2000</v>
      </c>
      <c r="AW23" s="31">
        <v>2000</v>
      </c>
      <c r="AX23" s="31">
        <v>2000</v>
      </c>
      <c r="AY23" s="31">
        <v>2000</v>
      </c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9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>
        <v>400</v>
      </c>
      <c r="BY23" s="12">
        <v>400</v>
      </c>
      <c r="BZ23" s="12">
        <f>400-120</f>
        <v>280</v>
      </c>
      <c r="CA23" s="12">
        <f>400-45</f>
        <v>355</v>
      </c>
      <c r="CB23" s="12">
        <f>400-45</f>
        <v>355</v>
      </c>
      <c r="CC23" s="12">
        <f>400-75</f>
        <v>325</v>
      </c>
      <c r="CD23" s="12">
        <f>400-45</f>
        <v>355</v>
      </c>
      <c r="CE23" s="12">
        <f>400-105</f>
        <v>295</v>
      </c>
      <c r="CF23" s="12">
        <f>400-60</f>
        <v>340</v>
      </c>
      <c r="CG23" s="12">
        <v>400</v>
      </c>
      <c r="CH23" s="12">
        <f>400-180</f>
        <v>220</v>
      </c>
      <c r="CI23" s="12">
        <f>400-135</f>
        <v>265</v>
      </c>
      <c r="CJ23" s="12">
        <f>400-120</f>
        <v>280</v>
      </c>
      <c r="CK23" s="31">
        <v>400</v>
      </c>
      <c r="CL23" s="31">
        <v>400</v>
      </c>
      <c r="CM23" s="31">
        <v>400</v>
      </c>
      <c r="CN23" s="31">
        <v>190</v>
      </c>
      <c r="CO23" s="31">
        <v>400</v>
      </c>
      <c r="CP23" s="31">
        <f>400-195</f>
        <v>205</v>
      </c>
      <c r="CQ23" s="31">
        <f>400-90</f>
        <v>310</v>
      </c>
      <c r="CR23" s="31">
        <f>400-60</f>
        <v>340</v>
      </c>
      <c r="CS23" s="31">
        <v>400</v>
      </c>
      <c r="CT23" s="31">
        <v>400</v>
      </c>
      <c r="CU23" s="31">
        <v>400</v>
      </c>
      <c r="CV23" s="31">
        <v>400</v>
      </c>
      <c r="CW23" s="31">
        <v>400</v>
      </c>
      <c r="CX23" s="180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31">
        <v>400</v>
      </c>
      <c r="EE23" s="31">
        <v>400</v>
      </c>
      <c r="EF23" s="31">
        <v>400</v>
      </c>
      <c r="EG23" s="31">
        <v>400</v>
      </c>
      <c r="EH23" s="31">
        <v>400</v>
      </c>
      <c r="EI23" s="31">
        <v>400</v>
      </c>
      <c r="EJ23" s="28"/>
    </row>
    <row r="24" spans="1:140" s="34" customFormat="1" ht="22.5" customHeight="1">
      <c r="A24" s="59">
        <v>22</v>
      </c>
      <c r="B24" s="52" t="s">
        <v>1069</v>
      </c>
      <c r="C24" s="51" t="s">
        <v>1134</v>
      </c>
      <c r="D24" s="50">
        <f>1500+300+600+600</f>
        <v>3000</v>
      </c>
      <c r="E24" s="80" t="s">
        <v>1135</v>
      </c>
      <c r="F24" s="80" t="s">
        <v>1084</v>
      </c>
      <c r="G24" s="141">
        <f>54000-1125-1125-1125-1125</f>
        <v>49500</v>
      </c>
      <c r="H24" s="52" t="s">
        <v>1084</v>
      </c>
      <c r="I24" s="89">
        <f>400*6+400*6-75-75-150+400*6-225-60-150-45-90+400*6-180-135</f>
        <v>8415</v>
      </c>
      <c r="J24" s="52" t="s">
        <v>1136</v>
      </c>
      <c r="K24" s="8">
        <f>200*6+400+400*4+400*2+400*3</f>
        <v>5200</v>
      </c>
      <c r="L24" s="30">
        <f t="shared" si="0"/>
        <v>66115</v>
      </c>
      <c r="M24" s="29">
        <f>SUM(O24:EI24)</f>
        <v>63115</v>
      </c>
      <c r="N24" s="29">
        <f t="shared" si="1"/>
        <v>3000</v>
      </c>
      <c r="AA24" s="31"/>
      <c r="AB24" s="31">
        <v>2250</v>
      </c>
      <c r="AC24" s="31">
        <v>2250</v>
      </c>
      <c r="AD24" s="31">
        <v>2250</v>
      </c>
      <c r="AE24" s="31">
        <v>2250</v>
      </c>
      <c r="AF24" s="31">
        <v>2250</v>
      </c>
      <c r="AG24" s="31">
        <f>2250/2</f>
        <v>1125</v>
      </c>
      <c r="AH24" s="31">
        <f>2250/2</f>
        <v>1125</v>
      </c>
      <c r="AI24" s="31">
        <v>2250</v>
      </c>
      <c r="AJ24" s="31">
        <v>2250</v>
      </c>
      <c r="AK24" s="31">
        <f>2250/2</f>
        <v>1125</v>
      </c>
      <c r="AL24" s="31">
        <v>2250</v>
      </c>
      <c r="AM24" s="31">
        <v>2250</v>
      </c>
      <c r="AN24" s="31">
        <v>2250</v>
      </c>
      <c r="AO24" s="31">
        <v>2250</v>
      </c>
      <c r="AP24" s="31">
        <f>2250/2</f>
        <v>1125</v>
      </c>
      <c r="AQ24" s="31">
        <v>2250</v>
      </c>
      <c r="AR24" s="31">
        <v>2250</v>
      </c>
      <c r="AS24" s="31">
        <v>2250</v>
      </c>
      <c r="AT24" s="31">
        <v>2250</v>
      </c>
      <c r="AU24" s="31">
        <v>2250</v>
      </c>
      <c r="AV24" s="31">
        <v>2250</v>
      </c>
      <c r="AW24" s="31">
        <v>2250</v>
      </c>
      <c r="AX24" s="31">
        <v>2250</v>
      </c>
      <c r="AY24" s="31">
        <v>2250</v>
      </c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6"/>
      <c r="BY24" s="12"/>
      <c r="BZ24" s="12">
        <v>400</v>
      </c>
      <c r="CA24" s="12">
        <f>400-75</f>
        <v>325</v>
      </c>
      <c r="CB24" s="12">
        <v>400</v>
      </c>
      <c r="CC24" s="12">
        <f>400-75</f>
        <v>325</v>
      </c>
      <c r="CD24" s="12">
        <v>400</v>
      </c>
      <c r="CE24" s="12">
        <f>400-150</f>
        <v>250</v>
      </c>
      <c r="CF24" s="12">
        <f>400-225</f>
        <v>175</v>
      </c>
      <c r="CG24" s="12">
        <f>400-60</f>
        <v>340</v>
      </c>
      <c r="CH24" s="12">
        <v>400</v>
      </c>
      <c r="CI24" s="12">
        <f>400-150</f>
        <v>250</v>
      </c>
      <c r="CJ24" s="12">
        <f>400-45</f>
        <v>355</v>
      </c>
      <c r="CK24" s="31">
        <f>400-90</f>
        <v>310</v>
      </c>
      <c r="CL24" s="31">
        <v>400</v>
      </c>
      <c r="CM24" s="31">
        <v>400</v>
      </c>
      <c r="CN24" s="31">
        <f>400-180</f>
        <v>220</v>
      </c>
      <c r="CO24" s="12">
        <f>400-135</f>
        <v>265</v>
      </c>
      <c r="CP24" s="12">
        <v>400</v>
      </c>
      <c r="CQ24" s="12">
        <v>400</v>
      </c>
      <c r="CR24" s="12">
        <v>400</v>
      </c>
      <c r="CS24" s="12">
        <v>400</v>
      </c>
      <c r="CT24" s="12">
        <v>400</v>
      </c>
      <c r="CU24" s="12">
        <v>400</v>
      </c>
      <c r="CV24" s="12">
        <v>400</v>
      </c>
      <c r="CW24" s="12">
        <v>400</v>
      </c>
      <c r="CX24" s="36"/>
      <c r="DK24" s="12"/>
      <c r="DL24" s="12">
        <v>200</v>
      </c>
      <c r="DM24" s="12">
        <v>200</v>
      </c>
      <c r="DN24" s="12">
        <v>200</v>
      </c>
      <c r="DO24" s="12">
        <v>200</v>
      </c>
      <c r="DP24" s="12">
        <v>200</v>
      </c>
      <c r="DQ24" s="12">
        <v>200</v>
      </c>
      <c r="DR24" s="12"/>
      <c r="DS24" s="12">
        <v>400</v>
      </c>
      <c r="DT24" s="12"/>
      <c r="DU24" s="12"/>
      <c r="DV24" s="12"/>
      <c r="DW24" s="12"/>
      <c r="DX24" s="12"/>
      <c r="DY24" s="12"/>
      <c r="DZ24" s="12">
        <v>400</v>
      </c>
      <c r="EA24" s="12">
        <v>400</v>
      </c>
      <c r="EB24" s="12">
        <v>400</v>
      </c>
      <c r="EC24" s="12">
        <v>400</v>
      </c>
      <c r="ED24" s="31">
        <v>400</v>
      </c>
      <c r="EE24" s="12">
        <v>400</v>
      </c>
      <c r="EF24" s="12">
        <v>400</v>
      </c>
      <c r="EG24" s="12">
        <v>400</v>
      </c>
      <c r="EH24" s="12">
        <v>400</v>
      </c>
      <c r="EI24" s="12"/>
    </row>
    <row r="25" spans="1:140" s="32" customFormat="1" ht="19.5" customHeight="1">
      <c r="A25" s="59">
        <v>23</v>
      </c>
      <c r="B25" s="52" t="s">
        <v>1069</v>
      </c>
      <c r="C25" s="51" t="s">
        <v>1137</v>
      </c>
      <c r="D25" s="50">
        <f>1500+300+600+600</f>
        <v>3000</v>
      </c>
      <c r="E25" s="80" t="s">
        <v>1138</v>
      </c>
      <c r="F25" s="52" t="s">
        <v>1084</v>
      </c>
      <c r="G25" s="141">
        <f>3500*6+3500*6-1750+3500*6-1750+3500*6-1750</f>
        <v>78750</v>
      </c>
      <c r="H25" s="52" t="s">
        <v>1084</v>
      </c>
      <c r="I25" s="89">
        <f>400*6+400*6-60-120-60+400*6-195-45-75+400*6-135-105-90-105</f>
        <v>8610</v>
      </c>
      <c r="J25" s="52" t="s">
        <v>1139</v>
      </c>
      <c r="K25" s="8">
        <f>200*4-200*3</f>
        <v>200</v>
      </c>
      <c r="L25" s="30">
        <f t="shared" si="0"/>
        <v>90560</v>
      </c>
      <c r="M25" s="29">
        <f>SUM(O25:EC25)</f>
        <v>87560</v>
      </c>
      <c r="N25" s="29">
        <f t="shared" si="1"/>
        <v>3000</v>
      </c>
      <c r="O25" s="29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>
        <v>3500</v>
      </c>
      <c r="AC25" s="31">
        <v>3500</v>
      </c>
      <c r="AD25" s="31">
        <v>3500</v>
      </c>
      <c r="AE25" s="31">
        <v>3500</v>
      </c>
      <c r="AF25" s="31">
        <v>3500</v>
      </c>
      <c r="AG25" s="31">
        <f>3500-1750</f>
        <v>1750</v>
      </c>
      <c r="AH25" s="31">
        <v>3500</v>
      </c>
      <c r="AI25" s="31">
        <v>3500</v>
      </c>
      <c r="AJ25" s="31">
        <v>3500</v>
      </c>
      <c r="AK25" s="31">
        <f>3500/2</f>
        <v>1750</v>
      </c>
      <c r="AL25" s="31">
        <v>3500</v>
      </c>
      <c r="AM25" s="31">
        <v>3500</v>
      </c>
      <c r="AN25" s="31">
        <v>3500</v>
      </c>
      <c r="AO25" s="31">
        <v>3500</v>
      </c>
      <c r="AP25" s="31">
        <v>3500</v>
      </c>
      <c r="AQ25" s="31">
        <v>3500</v>
      </c>
      <c r="AR25" s="31">
        <v>3500</v>
      </c>
      <c r="AS25" s="31">
        <f>3500/2</f>
        <v>1750</v>
      </c>
      <c r="AT25" s="31">
        <v>3500</v>
      </c>
      <c r="AU25" s="31">
        <v>3500</v>
      </c>
      <c r="AV25" s="31">
        <v>3500</v>
      </c>
      <c r="AW25" s="31">
        <v>3500</v>
      </c>
      <c r="AX25" s="31">
        <v>3500</v>
      </c>
      <c r="AY25" s="31">
        <v>3500</v>
      </c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9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12"/>
      <c r="BZ25" s="12">
        <v>400</v>
      </c>
      <c r="CA25" s="12">
        <v>400</v>
      </c>
      <c r="CB25" s="12">
        <v>400</v>
      </c>
      <c r="CC25" s="12">
        <v>400</v>
      </c>
      <c r="CD25" s="12">
        <f>400-60</f>
        <v>340</v>
      </c>
      <c r="CE25" s="12">
        <f>400-120</f>
        <v>280</v>
      </c>
      <c r="CF25" s="12">
        <f>400-60</f>
        <v>340</v>
      </c>
      <c r="CG25" s="12">
        <v>400</v>
      </c>
      <c r="CH25" s="12">
        <v>400</v>
      </c>
      <c r="CI25" s="12">
        <f>400-195</f>
        <v>205</v>
      </c>
      <c r="CJ25" s="12">
        <f>400-45</f>
        <v>355</v>
      </c>
      <c r="CK25" s="31">
        <f>400-75</f>
        <v>325</v>
      </c>
      <c r="CL25" s="31">
        <f>400-135</f>
        <v>265</v>
      </c>
      <c r="CM25" s="31">
        <v>400</v>
      </c>
      <c r="CN25" s="31">
        <f>400-105</f>
        <v>295</v>
      </c>
      <c r="CO25" s="12">
        <v>400</v>
      </c>
      <c r="CP25" s="12">
        <f>400-90</f>
        <v>310</v>
      </c>
      <c r="CQ25" s="12">
        <f>400-105</f>
        <v>295</v>
      </c>
      <c r="CR25" s="12">
        <v>400</v>
      </c>
      <c r="CS25" s="12">
        <v>400</v>
      </c>
      <c r="CT25" s="12">
        <v>400</v>
      </c>
      <c r="CU25" s="12">
        <v>400</v>
      </c>
      <c r="CV25" s="12">
        <v>400</v>
      </c>
      <c r="CW25" s="12">
        <v>400</v>
      </c>
      <c r="CX25" s="180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12"/>
      <c r="DL25" s="12"/>
      <c r="DM25" s="12"/>
      <c r="DN25" s="12">
        <f>200-200</f>
        <v>0</v>
      </c>
      <c r="DO25" s="12">
        <f>200-200</f>
        <v>0</v>
      </c>
      <c r="DP25" s="12">
        <v>200</v>
      </c>
      <c r="DQ25" s="12">
        <f>200-200</f>
        <v>0</v>
      </c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31"/>
      <c r="EE25" s="12"/>
      <c r="EF25" s="12"/>
      <c r="EG25" s="12"/>
      <c r="EH25" s="12"/>
      <c r="EI25" s="12"/>
      <c r="EJ25" s="28"/>
    </row>
    <row r="26" spans="1:140" s="34" customFormat="1" ht="22.5" customHeight="1">
      <c r="A26" s="59">
        <v>24</v>
      </c>
      <c r="B26" s="52" t="s">
        <v>1069</v>
      </c>
      <c r="C26" s="51" t="s">
        <v>1140</v>
      </c>
      <c r="D26" s="50">
        <f>1200+300+300+600+600</f>
        <v>3000</v>
      </c>
      <c r="E26" s="80" t="s">
        <v>1141</v>
      </c>
      <c r="F26" s="80" t="s">
        <v>1084</v>
      </c>
      <c r="G26" s="141">
        <f>2250*24-1125-1750-1750-1750-1125</f>
        <v>46500</v>
      </c>
      <c r="H26" s="52" t="s">
        <v>1142</v>
      </c>
      <c r="I26" s="89">
        <f>400*6+400*5-45-270-60-400-150-105-45+400*6+400*6-165-400-45-210</f>
        <v>7305</v>
      </c>
      <c r="J26" s="52" t="s">
        <v>1143</v>
      </c>
      <c r="K26" s="8">
        <f>200*6+400*5-200+400*6+400*6</f>
        <v>7800</v>
      </c>
      <c r="L26" s="30">
        <f t="shared" si="0"/>
        <v>64605</v>
      </c>
      <c r="M26" s="29">
        <f>SUM(O26:EI26)</f>
        <v>61605</v>
      </c>
      <c r="N26" s="29">
        <f t="shared" si="1"/>
        <v>3000</v>
      </c>
      <c r="AA26" s="31"/>
      <c r="AB26" s="31">
        <v>2250</v>
      </c>
      <c r="AC26" s="31">
        <v>2250</v>
      </c>
      <c r="AD26" s="31">
        <v>2250</v>
      </c>
      <c r="AE26" s="31">
        <f>2250/2</f>
        <v>1125</v>
      </c>
      <c r="AF26" s="31">
        <v>2250</v>
      </c>
      <c r="AG26" s="31">
        <f>2250-1750</f>
        <v>500</v>
      </c>
      <c r="AH26" s="31">
        <f>2250-1750</f>
        <v>500</v>
      </c>
      <c r="AI26" s="31">
        <v>2250</v>
      </c>
      <c r="AJ26" s="31">
        <v>2250</v>
      </c>
      <c r="AK26" s="31">
        <v>2250</v>
      </c>
      <c r="AL26" s="31">
        <v>2250</v>
      </c>
      <c r="AM26" s="31">
        <f>2250-1750</f>
        <v>500</v>
      </c>
      <c r="AN26" s="31">
        <v>2250</v>
      </c>
      <c r="AO26" s="31">
        <v>2250</v>
      </c>
      <c r="AP26" s="31">
        <f>2250/2</f>
        <v>1125</v>
      </c>
      <c r="AQ26" s="31">
        <v>2250</v>
      </c>
      <c r="AR26" s="31">
        <v>2250</v>
      </c>
      <c r="AS26" s="31">
        <v>2250</v>
      </c>
      <c r="AT26" s="31">
        <v>2250</v>
      </c>
      <c r="AU26" s="31">
        <v>2250</v>
      </c>
      <c r="AV26" s="31">
        <v>2250</v>
      </c>
      <c r="AW26" s="31">
        <v>2250</v>
      </c>
      <c r="AX26" s="31">
        <v>2250</v>
      </c>
      <c r="AY26" s="31">
        <v>2250</v>
      </c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6"/>
      <c r="BY26" s="12"/>
      <c r="BZ26" s="12">
        <f>400-45</f>
        <v>355</v>
      </c>
      <c r="CA26" s="12">
        <v>400</v>
      </c>
      <c r="CB26" s="12">
        <v>400</v>
      </c>
      <c r="CC26" s="12">
        <f>400-270</f>
        <v>130</v>
      </c>
      <c r="CD26" s="12">
        <f>400-60</f>
        <v>340</v>
      </c>
      <c r="CE26" s="12">
        <f>400-400</f>
        <v>0</v>
      </c>
      <c r="CF26" s="12"/>
      <c r="CG26" s="12">
        <f>400-150</f>
        <v>250</v>
      </c>
      <c r="CH26" s="12">
        <f>400-105</f>
        <v>295</v>
      </c>
      <c r="CI26" s="12">
        <f>400-45</f>
        <v>355</v>
      </c>
      <c r="CJ26" s="12">
        <f>400-165</f>
        <v>235</v>
      </c>
      <c r="CK26" s="31">
        <f>400-400</f>
        <v>0</v>
      </c>
      <c r="CL26" s="31">
        <v>400</v>
      </c>
      <c r="CM26" s="31">
        <f>400-45</f>
        <v>355</v>
      </c>
      <c r="CN26" s="31">
        <f>400-210</f>
        <v>190</v>
      </c>
      <c r="CO26" s="12">
        <v>400</v>
      </c>
      <c r="CP26" s="12">
        <v>400</v>
      </c>
      <c r="CQ26" s="12">
        <v>400</v>
      </c>
      <c r="CR26" s="12">
        <v>400</v>
      </c>
      <c r="CS26" s="12">
        <v>400</v>
      </c>
      <c r="CT26" s="12">
        <v>400</v>
      </c>
      <c r="CU26" s="12">
        <v>400</v>
      </c>
      <c r="CV26" s="12">
        <v>400</v>
      </c>
      <c r="CW26" s="12">
        <v>400</v>
      </c>
      <c r="CX26" s="36"/>
      <c r="DK26" s="12"/>
      <c r="DL26" s="12">
        <v>200</v>
      </c>
      <c r="DM26" s="12">
        <v>200</v>
      </c>
      <c r="DN26" s="12">
        <v>200</v>
      </c>
      <c r="DO26" s="12">
        <v>200</v>
      </c>
      <c r="DP26" s="12">
        <v>200</v>
      </c>
      <c r="DQ26" s="12">
        <f>200-200</f>
        <v>0</v>
      </c>
      <c r="DR26" s="12"/>
      <c r="DS26" s="12">
        <v>400</v>
      </c>
      <c r="DT26" s="12">
        <v>400</v>
      </c>
      <c r="DU26" s="12">
        <v>400</v>
      </c>
      <c r="DV26" s="12">
        <v>400</v>
      </c>
      <c r="DW26" s="12">
        <v>400</v>
      </c>
      <c r="DX26" s="12">
        <v>400</v>
      </c>
      <c r="DY26" s="12">
        <v>400</v>
      </c>
      <c r="DZ26" s="12">
        <v>400</v>
      </c>
      <c r="EA26" s="12">
        <v>400</v>
      </c>
      <c r="EB26" s="12">
        <v>400</v>
      </c>
      <c r="EC26" s="12">
        <v>400</v>
      </c>
      <c r="ED26" s="31">
        <v>400</v>
      </c>
      <c r="EE26" s="12">
        <v>400</v>
      </c>
      <c r="EF26" s="12">
        <v>400</v>
      </c>
      <c r="EG26" s="12">
        <v>400</v>
      </c>
      <c r="EH26" s="12">
        <v>400</v>
      </c>
      <c r="EI26" s="12">
        <v>400</v>
      </c>
    </row>
    <row r="27" spans="1:140" s="32" customFormat="1" ht="18" customHeight="1">
      <c r="A27" s="59">
        <v>25</v>
      </c>
      <c r="B27" s="52" t="s">
        <v>1069</v>
      </c>
      <c r="C27" s="51" t="s">
        <v>562</v>
      </c>
      <c r="D27" s="50">
        <f>1200+300+300+600+600</f>
        <v>3000</v>
      </c>
      <c r="E27" s="80" t="s">
        <v>1144</v>
      </c>
      <c r="F27" s="52" t="s">
        <v>1145</v>
      </c>
      <c r="G27" s="141">
        <f>2500*23*0.9-1750</f>
        <v>50000</v>
      </c>
      <c r="H27" s="52" t="s">
        <v>1145</v>
      </c>
      <c r="I27" s="89">
        <f>400+400+400+400+400-45+400*5-45-400+400*7-45-75-75+400*6-90-105-45</f>
        <v>8275</v>
      </c>
      <c r="J27" s="52"/>
      <c r="K27" s="8"/>
      <c r="L27" s="29">
        <f t="shared" si="0"/>
        <v>61275</v>
      </c>
      <c r="M27" s="29">
        <f>SUM(O27:DS27)</f>
        <v>58275</v>
      </c>
      <c r="N27" s="29">
        <f t="shared" si="1"/>
        <v>3000</v>
      </c>
      <c r="O27" s="29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>
        <v>2250</v>
      </c>
      <c r="AD27" s="31">
        <v>2250</v>
      </c>
      <c r="AE27" s="31">
        <v>2250</v>
      </c>
      <c r="AF27" s="31">
        <v>2250</v>
      </c>
      <c r="AG27" s="31">
        <f>2250-1750</f>
        <v>500</v>
      </c>
      <c r="AH27" s="31">
        <v>2250</v>
      </c>
      <c r="AI27" s="31">
        <v>2250</v>
      </c>
      <c r="AJ27" s="31">
        <v>2250</v>
      </c>
      <c r="AK27" s="31">
        <v>2250</v>
      </c>
      <c r="AL27" s="31">
        <v>2250</v>
      </c>
      <c r="AM27" s="31">
        <v>2250</v>
      </c>
      <c r="AN27" s="31">
        <v>2250</v>
      </c>
      <c r="AO27" s="31">
        <v>2250</v>
      </c>
      <c r="AP27" s="31">
        <v>2250</v>
      </c>
      <c r="AQ27" s="31">
        <v>2250</v>
      </c>
      <c r="AR27" s="31">
        <v>2250</v>
      </c>
      <c r="AS27" s="31">
        <v>2250</v>
      </c>
      <c r="AT27" s="31">
        <v>2250</v>
      </c>
      <c r="AU27" s="31">
        <v>2250</v>
      </c>
      <c r="AV27" s="31">
        <v>2250</v>
      </c>
      <c r="AW27" s="31">
        <v>2250</v>
      </c>
      <c r="AX27" s="31">
        <v>2250</v>
      </c>
      <c r="AY27" s="31">
        <v>2250</v>
      </c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9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12"/>
      <c r="BZ27" s="12"/>
      <c r="CA27" s="12">
        <v>400</v>
      </c>
      <c r="CB27" s="12">
        <v>400</v>
      </c>
      <c r="CC27" s="12">
        <f>400-45</f>
        <v>355</v>
      </c>
      <c r="CD27" s="12">
        <f>400-45</f>
        <v>355</v>
      </c>
      <c r="CE27" s="12">
        <f>400-400</f>
        <v>0</v>
      </c>
      <c r="CF27" s="12">
        <f>400-45</f>
        <v>355</v>
      </c>
      <c r="CG27" s="12">
        <f>400-75</f>
        <v>325</v>
      </c>
      <c r="CH27" s="12">
        <v>400</v>
      </c>
      <c r="CI27" s="12">
        <v>400</v>
      </c>
      <c r="CJ27" s="12">
        <f>400-75</f>
        <v>325</v>
      </c>
      <c r="CK27" s="31">
        <v>400</v>
      </c>
      <c r="CL27" s="31">
        <v>400</v>
      </c>
      <c r="CM27" s="31">
        <v>400</v>
      </c>
      <c r="CN27" s="31">
        <f>400-90</f>
        <v>310</v>
      </c>
      <c r="CO27" s="12">
        <f>400-105</f>
        <v>295</v>
      </c>
      <c r="CP27" s="12">
        <f>400-45</f>
        <v>355</v>
      </c>
      <c r="CQ27" s="12">
        <v>400</v>
      </c>
      <c r="CR27" s="12">
        <v>400</v>
      </c>
      <c r="CS27" s="12">
        <v>400</v>
      </c>
      <c r="CT27" s="12">
        <v>400</v>
      </c>
      <c r="CU27" s="12">
        <v>400</v>
      </c>
      <c r="CV27" s="12">
        <v>400</v>
      </c>
      <c r="CW27" s="12">
        <v>400</v>
      </c>
      <c r="CX27" s="180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31"/>
      <c r="EE27" s="12"/>
      <c r="EF27" s="12"/>
      <c r="EG27" s="12"/>
      <c r="EH27" s="12"/>
      <c r="EI27" s="12"/>
      <c r="EJ27" s="28"/>
    </row>
    <row r="28" spans="1:140" s="34" customFormat="1" ht="22.5" customHeight="1">
      <c r="A28" s="59">
        <v>26</v>
      </c>
      <c r="B28" s="52" t="s">
        <v>1069</v>
      </c>
      <c r="C28" s="51" t="s">
        <v>1146</v>
      </c>
      <c r="D28" s="50">
        <f>1500+300+600+600</f>
        <v>3000</v>
      </c>
      <c r="E28" s="52" t="s">
        <v>1147</v>
      </c>
      <c r="F28" s="52" t="s">
        <v>1084</v>
      </c>
      <c r="G28" s="141">
        <f>15000+2500*6+2500*6-1250+2500*6-2000</f>
        <v>56750</v>
      </c>
      <c r="H28" s="52" t="s">
        <v>1084</v>
      </c>
      <c r="I28" s="89">
        <f>400+400+400+400-75+400-45+400-75+400-60+400-45+400-75+400+400-75-45+400-225+400+400*2+400-45-60-135+400+400*7-75-400</f>
        <v>8165</v>
      </c>
      <c r="J28" s="52" t="s">
        <v>1148</v>
      </c>
      <c r="K28" s="8">
        <f>400*4+400*6+400*6</f>
        <v>6400</v>
      </c>
      <c r="L28" s="30">
        <f t="shared" si="0"/>
        <v>74315</v>
      </c>
      <c r="M28" s="29">
        <f>SUM(O28:EI28)</f>
        <v>71315</v>
      </c>
      <c r="N28" s="29">
        <f t="shared" si="1"/>
        <v>3000</v>
      </c>
      <c r="AA28" s="31"/>
      <c r="AB28" s="31">
        <v>2500</v>
      </c>
      <c r="AC28" s="31">
        <v>2500</v>
      </c>
      <c r="AD28" s="31">
        <v>2500</v>
      </c>
      <c r="AE28" s="31">
        <v>2500</v>
      </c>
      <c r="AF28" s="31">
        <v>2500</v>
      </c>
      <c r="AG28" s="31">
        <v>2500</v>
      </c>
      <c r="AH28" s="31">
        <v>2500</v>
      </c>
      <c r="AI28" s="31">
        <v>2500</v>
      </c>
      <c r="AJ28" s="31">
        <v>2500</v>
      </c>
      <c r="AK28" s="31">
        <v>2500</v>
      </c>
      <c r="AL28" s="31">
        <v>2500</v>
      </c>
      <c r="AM28" s="31">
        <f>2500/2</f>
        <v>1250</v>
      </c>
      <c r="AN28" s="31">
        <v>2500</v>
      </c>
      <c r="AO28" s="31">
        <v>2500</v>
      </c>
      <c r="AP28" s="31">
        <v>2500</v>
      </c>
      <c r="AQ28" s="31">
        <v>2500</v>
      </c>
      <c r="AR28" s="31">
        <v>2500</v>
      </c>
      <c r="AS28" s="31">
        <f>2500-2000</f>
        <v>500</v>
      </c>
      <c r="AT28" s="31">
        <v>2500</v>
      </c>
      <c r="AU28" s="31">
        <v>2500</v>
      </c>
      <c r="AV28" s="31">
        <v>2500</v>
      </c>
      <c r="AW28" s="31">
        <v>2500</v>
      </c>
      <c r="AX28" s="31">
        <v>2500</v>
      </c>
      <c r="AY28" s="31">
        <v>2500</v>
      </c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6"/>
      <c r="BY28" s="12"/>
      <c r="BZ28" s="12">
        <v>400</v>
      </c>
      <c r="CA28" s="12">
        <f>400-75</f>
        <v>325</v>
      </c>
      <c r="CB28" s="12">
        <f>400-45</f>
        <v>355</v>
      </c>
      <c r="CC28" s="12">
        <f>400-75</f>
        <v>325</v>
      </c>
      <c r="CD28" s="12">
        <f>400-60</f>
        <v>340</v>
      </c>
      <c r="CE28" s="12">
        <f>400-45</f>
        <v>355</v>
      </c>
      <c r="CF28" s="12">
        <f>400-75</f>
        <v>325</v>
      </c>
      <c r="CG28" s="12">
        <v>400</v>
      </c>
      <c r="CH28" s="12">
        <f>400-75</f>
        <v>325</v>
      </c>
      <c r="CI28" s="12">
        <f>400-45</f>
        <v>355</v>
      </c>
      <c r="CJ28" s="12">
        <v>400</v>
      </c>
      <c r="CK28" s="31">
        <f>400-225</f>
        <v>175</v>
      </c>
      <c r="CL28" s="31">
        <f>400-45</f>
        <v>355</v>
      </c>
      <c r="CM28" s="31">
        <f>400-60</f>
        <v>340</v>
      </c>
      <c r="CN28" s="31">
        <f>400-135</f>
        <v>265</v>
      </c>
      <c r="CO28" s="31">
        <v>400</v>
      </c>
      <c r="CP28" s="31">
        <f>400-75</f>
        <v>325</v>
      </c>
      <c r="CQ28" s="31">
        <f>400-400</f>
        <v>0</v>
      </c>
      <c r="CR28" s="31">
        <v>400</v>
      </c>
      <c r="CS28" s="31">
        <v>400</v>
      </c>
      <c r="CT28" s="31">
        <v>400</v>
      </c>
      <c r="CU28" s="31">
        <v>400</v>
      </c>
      <c r="CV28" s="31">
        <v>400</v>
      </c>
      <c r="CW28" s="31">
        <v>400</v>
      </c>
      <c r="CX28" s="36"/>
      <c r="DK28" s="12"/>
      <c r="DL28" s="12"/>
      <c r="DM28" s="12"/>
      <c r="DN28" s="12"/>
      <c r="DO28" s="12"/>
      <c r="DP28" s="12"/>
      <c r="DQ28" s="12"/>
      <c r="DR28" s="12"/>
      <c r="DS28" s="12"/>
      <c r="DT28" s="12">
        <v>400</v>
      </c>
      <c r="DU28" s="12">
        <v>400</v>
      </c>
      <c r="DV28" s="12">
        <v>400</v>
      </c>
      <c r="DW28" s="12">
        <v>400</v>
      </c>
      <c r="DX28" s="12">
        <v>400</v>
      </c>
      <c r="DY28" s="12">
        <v>400</v>
      </c>
      <c r="DZ28" s="12">
        <v>400</v>
      </c>
      <c r="EA28" s="12">
        <v>400</v>
      </c>
      <c r="EB28" s="12">
        <v>400</v>
      </c>
      <c r="EC28" s="12">
        <v>400</v>
      </c>
      <c r="ED28" s="31">
        <v>400</v>
      </c>
      <c r="EE28" s="12">
        <v>400</v>
      </c>
      <c r="EF28" s="12">
        <v>400</v>
      </c>
      <c r="EG28" s="12">
        <v>400</v>
      </c>
      <c r="EH28" s="12">
        <v>400</v>
      </c>
      <c r="EI28" s="12">
        <v>400</v>
      </c>
    </row>
    <row r="29" spans="1:140" s="32" customFormat="1" ht="22.5" customHeight="1">
      <c r="A29" s="59">
        <v>27</v>
      </c>
      <c r="B29" s="52" t="s">
        <v>1069</v>
      </c>
      <c r="C29" s="51" t="s">
        <v>1149</v>
      </c>
      <c r="D29" s="50">
        <f>1500+300+600+600</f>
        <v>3000</v>
      </c>
      <c r="E29" s="80" t="s">
        <v>1150</v>
      </c>
      <c r="F29" s="52" t="s">
        <v>1084</v>
      </c>
      <c r="G29" s="141">
        <f>15000+2500*6-1250+2500*6-2000-2000+2500*6-1250</f>
        <v>53500</v>
      </c>
      <c r="H29" s="52" t="s">
        <v>1151</v>
      </c>
      <c r="I29" s="89">
        <f>400+400*2+400*2-60+400*3-120-120+400*3-135-60+400-400-90+400*5+400*6-180-75</f>
        <v>7960</v>
      </c>
      <c r="J29" s="52" t="s">
        <v>1152</v>
      </c>
      <c r="K29" s="8">
        <f>200*6+400*6+400*6+400*6-400*4</f>
        <v>6800</v>
      </c>
      <c r="L29" s="30">
        <f t="shared" si="0"/>
        <v>71260</v>
      </c>
      <c r="M29" s="29">
        <f>SUM(O29:EI29)</f>
        <v>68260</v>
      </c>
      <c r="N29" s="29">
        <f t="shared" si="1"/>
        <v>3000</v>
      </c>
      <c r="O29" s="29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>
        <v>2500</v>
      </c>
      <c r="AC29" s="31">
        <v>2500</v>
      </c>
      <c r="AD29" s="31">
        <v>2500</v>
      </c>
      <c r="AE29" s="31">
        <v>2500</v>
      </c>
      <c r="AF29" s="31">
        <v>2500</v>
      </c>
      <c r="AG29" s="31">
        <f>2500/2</f>
        <v>1250</v>
      </c>
      <c r="AH29" s="31">
        <v>2500</v>
      </c>
      <c r="AI29" s="31">
        <v>2500</v>
      </c>
      <c r="AJ29" s="31">
        <v>2500</v>
      </c>
      <c r="AK29" s="31">
        <v>2500</v>
      </c>
      <c r="AL29" s="31">
        <f>2500-2000</f>
        <v>500</v>
      </c>
      <c r="AM29" s="31">
        <f>2500-2000</f>
        <v>500</v>
      </c>
      <c r="AN29" s="31">
        <v>2500</v>
      </c>
      <c r="AO29" s="31">
        <v>2500</v>
      </c>
      <c r="AP29" s="31">
        <f>2500/2</f>
        <v>1250</v>
      </c>
      <c r="AQ29" s="31">
        <v>2500</v>
      </c>
      <c r="AR29" s="31">
        <v>2500</v>
      </c>
      <c r="AS29" s="31">
        <v>2500</v>
      </c>
      <c r="AT29" s="31">
        <v>2500</v>
      </c>
      <c r="AU29" s="31">
        <v>2500</v>
      </c>
      <c r="AV29" s="31">
        <v>2500</v>
      </c>
      <c r="AW29" s="31">
        <v>2500</v>
      </c>
      <c r="AX29" s="31">
        <v>2500</v>
      </c>
      <c r="AY29" s="31">
        <v>2500</v>
      </c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9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12"/>
      <c r="BZ29" s="12">
        <v>400</v>
      </c>
      <c r="CA29" s="12">
        <f>400-60</f>
        <v>340</v>
      </c>
      <c r="CB29" s="12">
        <v>400</v>
      </c>
      <c r="CC29" s="12">
        <f>400-120</f>
        <v>280</v>
      </c>
      <c r="CD29" s="12">
        <f>400-120</f>
        <v>280</v>
      </c>
      <c r="CE29" s="12">
        <f>400-135</f>
        <v>265</v>
      </c>
      <c r="CF29" s="12">
        <f>400-60</f>
        <v>340</v>
      </c>
      <c r="CG29" s="12">
        <v>400</v>
      </c>
      <c r="CH29" s="12">
        <f>400-90</f>
        <v>310</v>
      </c>
      <c r="CI29" s="12">
        <v>400</v>
      </c>
      <c r="CJ29" s="12">
        <f>400-400</f>
        <v>0</v>
      </c>
      <c r="CK29" s="31"/>
      <c r="CL29" s="31">
        <v>400</v>
      </c>
      <c r="CM29" s="31">
        <v>400</v>
      </c>
      <c r="CN29" s="31">
        <f>400-180</f>
        <v>220</v>
      </c>
      <c r="CO29" s="31">
        <v>400</v>
      </c>
      <c r="CP29" s="31">
        <f>400-75</f>
        <v>325</v>
      </c>
      <c r="CQ29" s="31">
        <v>400</v>
      </c>
      <c r="CR29" s="31">
        <v>400</v>
      </c>
      <c r="CS29" s="31">
        <v>400</v>
      </c>
      <c r="CT29" s="31">
        <v>400</v>
      </c>
      <c r="CU29" s="31">
        <v>400</v>
      </c>
      <c r="CV29" s="31">
        <v>400</v>
      </c>
      <c r="CW29" s="31">
        <v>400</v>
      </c>
      <c r="CX29" s="180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12"/>
      <c r="DL29" s="12">
        <v>200</v>
      </c>
      <c r="DM29" s="12">
        <v>200</v>
      </c>
      <c r="DN29" s="12">
        <v>200</v>
      </c>
      <c r="DO29" s="12">
        <v>200</v>
      </c>
      <c r="DP29" s="12">
        <v>200</v>
      </c>
      <c r="DQ29" s="12">
        <v>200</v>
      </c>
      <c r="DR29" s="12">
        <v>400</v>
      </c>
      <c r="DS29" s="12">
        <v>400</v>
      </c>
      <c r="DT29" s="12">
        <v>400</v>
      </c>
      <c r="DU29" s="12">
        <v>400</v>
      </c>
      <c r="DV29" s="12">
        <v>400</v>
      </c>
      <c r="DW29" s="12">
        <v>400</v>
      </c>
      <c r="DX29" s="12">
        <v>400</v>
      </c>
      <c r="DY29" s="12">
        <v>400</v>
      </c>
      <c r="DZ29" s="12">
        <v>400</v>
      </c>
      <c r="EA29" s="12">
        <v>400</v>
      </c>
      <c r="EB29" s="12">
        <v>400</v>
      </c>
      <c r="EC29" s="12">
        <v>400</v>
      </c>
      <c r="ED29" s="31">
        <v>400</v>
      </c>
      <c r="EE29" s="12">
        <v>400</v>
      </c>
      <c r="EF29" s="12">
        <f>400-400</f>
        <v>0</v>
      </c>
      <c r="EG29" s="12">
        <f t="shared" ref="EG29:EI29" si="3">400-400</f>
        <v>0</v>
      </c>
      <c r="EH29" s="12">
        <f t="shared" si="3"/>
        <v>0</v>
      </c>
      <c r="EI29" s="12">
        <f t="shared" si="3"/>
        <v>0</v>
      </c>
      <c r="EJ29" s="28"/>
    </row>
    <row r="30" spans="1:140" s="32" customFormat="1" ht="22.5" customHeight="1">
      <c r="A30" s="59">
        <v>28</v>
      </c>
      <c r="B30" s="52" t="s">
        <v>1069</v>
      </c>
      <c r="C30" s="51" t="s">
        <v>1153</v>
      </c>
      <c r="D30" s="50">
        <f>1500+300+600+600</f>
        <v>3000</v>
      </c>
      <c r="E30" s="80" t="s">
        <v>1154</v>
      </c>
      <c r="F30" s="52" t="s">
        <v>1155</v>
      </c>
      <c r="G30" s="141">
        <f>2500*7+2500*6-2000+2500*6-2000+2500*6-2000</f>
        <v>56500</v>
      </c>
      <c r="H30" s="52" t="s">
        <v>1156</v>
      </c>
      <c r="I30" s="89">
        <f>400*7+400*2-90-400+400+400*2+400+400*2+400+400+400*6-60</f>
        <v>8650</v>
      </c>
      <c r="J30" s="52"/>
      <c r="K30" s="8"/>
      <c r="L30" s="29">
        <f t="shared" si="0"/>
        <v>68150</v>
      </c>
      <c r="M30" s="29">
        <f>SUM(O30:DS30)</f>
        <v>65150</v>
      </c>
      <c r="N30" s="29">
        <f t="shared" si="1"/>
        <v>3000</v>
      </c>
      <c r="O30" s="29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>
        <v>2500</v>
      </c>
      <c r="AB30" s="31">
        <v>2500</v>
      </c>
      <c r="AC30" s="31">
        <v>2500</v>
      </c>
      <c r="AD30" s="31">
        <v>2500</v>
      </c>
      <c r="AE30" s="31">
        <v>2500</v>
      </c>
      <c r="AF30" s="31">
        <v>2500</v>
      </c>
      <c r="AG30" s="31">
        <f>2500-2000</f>
        <v>500</v>
      </c>
      <c r="AH30" s="31">
        <v>2500</v>
      </c>
      <c r="AI30" s="31">
        <v>2500</v>
      </c>
      <c r="AJ30" s="31">
        <v>2500</v>
      </c>
      <c r="AK30" s="31">
        <v>2500</v>
      </c>
      <c r="AL30" s="31">
        <v>2500</v>
      </c>
      <c r="AM30" s="31">
        <f>2500-2000</f>
        <v>500</v>
      </c>
      <c r="AN30" s="31">
        <v>2500</v>
      </c>
      <c r="AO30" s="31">
        <v>2500</v>
      </c>
      <c r="AP30" s="31">
        <v>2500</v>
      </c>
      <c r="AQ30" s="31">
        <v>2500</v>
      </c>
      <c r="AR30" s="31">
        <v>2500</v>
      </c>
      <c r="AS30" s="31">
        <f>2500-2000</f>
        <v>500</v>
      </c>
      <c r="AT30" s="31">
        <v>2500</v>
      </c>
      <c r="AU30" s="31">
        <v>2500</v>
      </c>
      <c r="AV30" s="31">
        <v>2500</v>
      </c>
      <c r="AW30" s="31">
        <v>2500</v>
      </c>
      <c r="AX30" s="31">
        <v>2500</v>
      </c>
      <c r="AY30" s="31">
        <v>2500</v>
      </c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9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12">
        <f>400-90</f>
        <v>310</v>
      </c>
      <c r="BZ30" s="12">
        <v>400</v>
      </c>
      <c r="CA30" s="12">
        <v>400</v>
      </c>
      <c r="CB30" s="12">
        <v>400</v>
      </c>
      <c r="CC30" s="12">
        <v>400</v>
      </c>
      <c r="CD30" s="12">
        <v>400</v>
      </c>
      <c r="CE30" s="12">
        <f>400-400</f>
        <v>0</v>
      </c>
      <c r="CF30" s="12">
        <v>400</v>
      </c>
      <c r="CG30" s="12">
        <v>400</v>
      </c>
      <c r="CH30" s="12">
        <v>400</v>
      </c>
      <c r="CI30" s="12">
        <v>400</v>
      </c>
      <c r="CJ30" s="12">
        <v>400</v>
      </c>
      <c r="CK30" s="31"/>
      <c r="CL30" s="31">
        <v>400</v>
      </c>
      <c r="CM30" s="31">
        <v>400</v>
      </c>
      <c r="CN30" s="31">
        <v>400</v>
      </c>
      <c r="CO30" s="31">
        <v>400</v>
      </c>
      <c r="CP30" s="31">
        <f>400-60</f>
        <v>340</v>
      </c>
      <c r="CQ30" s="12"/>
      <c r="CR30" s="31">
        <v>400</v>
      </c>
      <c r="CS30" s="31">
        <v>400</v>
      </c>
      <c r="CT30" s="31">
        <v>400</v>
      </c>
      <c r="CU30" s="31">
        <v>400</v>
      </c>
      <c r="CV30" s="31">
        <v>400</v>
      </c>
      <c r="CW30" s="31">
        <v>400</v>
      </c>
      <c r="CX30" s="180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31"/>
      <c r="EE30" s="12"/>
      <c r="EF30" s="12"/>
      <c r="EG30" s="12"/>
      <c r="EH30" s="12"/>
      <c r="EI30" s="12"/>
      <c r="EJ30" s="28"/>
    </row>
    <row r="31" spans="1:140" s="34" customFormat="1" ht="22.5" customHeight="1">
      <c r="A31" s="59">
        <v>29</v>
      </c>
      <c r="B31" s="52" t="s">
        <v>1069</v>
      </c>
      <c r="C31" s="51" t="s">
        <v>1157</v>
      </c>
      <c r="D31" s="50">
        <f>1500+300+600+600</f>
        <v>3000</v>
      </c>
      <c r="E31" s="80" t="s">
        <v>1158</v>
      </c>
      <c r="F31" s="80" t="s">
        <v>1084</v>
      </c>
      <c r="G31" s="141">
        <f>2000*12+2000*6-1000+2000*6</f>
        <v>47000</v>
      </c>
      <c r="H31" s="80" t="s">
        <v>1084</v>
      </c>
      <c r="I31" s="89">
        <f>400*1+400+400*4-45+400*6-75-60+400*6-45+400*6-60</f>
        <v>9315</v>
      </c>
      <c r="J31" s="80" t="s">
        <v>1159</v>
      </c>
      <c r="K31" s="8">
        <f>200*6+400*2+400*6-800+200+400*2</f>
        <v>4600</v>
      </c>
      <c r="L31" s="30">
        <f t="shared" si="0"/>
        <v>63915</v>
      </c>
      <c r="M31" s="29">
        <f>SUM(O31:EC31)</f>
        <v>59915</v>
      </c>
      <c r="N31" s="29">
        <f t="shared" si="1"/>
        <v>4000</v>
      </c>
      <c r="AA31" s="31"/>
      <c r="AB31" s="31">
        <v>2000</v>
      </c>
      <c r="AC31" s="31">
        <v>2000</v>
      </c>
      <c r="AD31" s="31">
        <v>2000</v>
      </c>
      <c r="AE31" s="31">
        <v>2000</v>
      </c>
      <c r="AF31" s="31">
        <v>2000</v>
      </c>
      <c r="AG31" s="31">
        <f>2000/2</f>
        <v>1000</v>
      </c>
      <c r="AH31" s="31">
        <v>2000</v>
      </c>
      <c r="AI31" s="31">
        <v>2000</v>
      </c>
      <c r="AJ31" s="31">
        <v>2000</v>
      </c>
      <c r="AK31" s="31">
        <v>2000</v>
      </c>
      <c r="AL31" s="31">
        <v>2000</v>
      </c>
      <c r="AM31" s="31">
        <v>2000</v>
      </c>
      <c r="AN31" s="31">
        <v>2000</v>
      </c>
      <c r="AO31" s="31">
        <v>2000</v>
      </c>
      <c r="AP31" s="31">
        <v>2000</v>
      </c>
      <c r="AQ31" s="31">
        <v>2000</v>
      </c>
      <c r="AR31" s="31">
        <v>2000</v>
      </c>
      <c r="AS31" s="31">
        <v>2000</v>
      </c>
      <c r="AT31" s="31">
        <v>2000</v>
      </c>
      <c r="AU31" s="31">
        <v>2000</v>
      </c>
      <c r="AV31" s="31">
        <v>2000</v>
      </c>
      <c r="AW31" s="31">
        <v>2000</v>
      </c>
      <c r="AX31" s="31">
        <v>2000</v>
      </c>
      <c r="AY31" s="31">
        <v>2000</v>
      </c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6"/>
      <c r="BY31" s="12"/>
      <c r="BZ31" s="12">
        <f>400-45</f>
        <v>355</v>
      </c>
      <c r="CA31" s="12">
        <v>400</v>
      </c>
      <c r="CB31" s="12">
        <v>400</v>
      </c>
      <c r="CC31" s="12">
        <f>400-60</f>
        <v>340</v>
      </c>
      <c r="CD31" s="12">
        <f>400-75</f>
        <v>325</v>
      </c>
      <c r="CE31" s="12">
        <v>400</v>
      </c>
      <c r="CF31" s="12">
        <v>400</v>
      </c>
      <c r="CG31" s="12">
        <v>400</v>
      </c>
      <c r="CH31" s="12">
        <f>400-45</f>
        <v>355</v>
      </c>
      <c r="CI31" s="12">
        <v>400</v>
      </c>
      <c r="CJ31" s="12">
        <v>400</v>
      </c>
      <c r="CK31" s="31">
        <v>400</v>
      </c>
      <c r="CL31" s="31">
        <v>400</v>
      </c>
      <c r="CM31" s="31">
        <f>400-60</f>
        <v>340</v>
      </c>
      <c r="CN31" s="31">
        <v>400</v>
      </c>
      <c r="CO31" s="12">
        <v>400</v>
      </c>
      <c r="CP31" s="12">
        <v>400</v>
      </c>
      <c r="CQ31" s="12">
        <v>400</v>
      </c>
      <c r="CR31" s="12">
        <v>400</v>
      </c>
      <c r="CS31" s="12">
        <v>400</v>
      </c>
      <c r="CT31" s="12">
        <v>400</v>
      </c>
      <c r="CU31" s="12">
        <v>400</v>
      </c>
      <c r="CV31" s="12">
        <v>400</v>
      </c>
      <c r="CW31" s="12">
        <v>400</v>
      </c>
      <c r="CX31" s="36"/>
      <c r="DK31" s="12"/>
      <c r="DL31" s="12">
        <v>200</v>
      </c>
      <c r="DM31" s="12">
        <v>200</v>
      </c>
      <c r="DN31" s="12">
        <v>200</v>
      </c>
      <c r="DO31" s="12">
        <v>200</v>
      </c>
      <c r="DP31" s="12">
        <v>200</v>
      </c>
      <c r="DQ31" s="12">
        <v>200</v>
      </c>
      <c r="DR31" s="12">
        <v>400</v>
      </c>
      <c r="DS31" s="12">
        <v>400</v>
      </c>
      <c r="DT31" s="12"/>
      <c r="DU31" s="12"/>
      <c r="DV31" s="12"/>
      <c r="DW31" s="12"/>
      <c r="DX31" s="12">
        <f>400-400</f>
        <v>0</v>
      </c>
      <c r="DY31" s="12">
        <f>400-400</f>
        <v>0</v>
      </c>
      <c r="DZ31" s="12">
        <v>400</v>
      </c>
      <c r="EA31" s="12">
        <v>400</v>
      </c>
      <c r="EB31" s="12">
        <v>400</v>
      </c>
      <c r="EC31" s="12">
        <v>400</v>
      </c>
      <c r="ED31" s="31"/>
      <c r="EE31" s="12"/>
      <c r="EF31" s="12"/>
      <c r="EG31" s="12">
        <v>400</v>
      </c>
      <c r="EH31" s="12">
        <v>400</v>
      </c>
      <c r="EI31" s="12">
        <v>400</v>
      </c>
    </row>
    <row r="32" spans="1:140" s="34" customFormat="1" ht="22.5" customHeight="1">
      <c r="A32" s="59">
        <v>30</v>
      </c>
      <c r="B32" s="52" t="s">
        <v>1069</v>
      </c>
      <c r="C32" s="51" t="s">
        <v>1160</v>
      </c>
      <c r="D32" s="50">
        <f>1200+300+300+600+600</f>
        <v>3000</v>
      </c>
      <c r="E32" s="52" t="s">
        <v>1161</v>
      </c>
      <c r="F32" s="52" t="s">
        <v>1084</v>
      </c>
      <c r="G32" s="141">
        <f>2500*24*0.9-1125-1750</f>
        <v>51125</v>
      </c>
      <c r="H32" s="52" t="s">
        <v>1084</v>
      </c>
      <c r="I32" s="89">
        <f>400*6+400-180-60+400-400+400+400+400+400*2-120+400*2+400+400-75+400*6+400</f>
        <v>8765</v>
      </c>
      <c r="J32" s="52" t="s">
        <v>1162</v>
      </c>
      <c r="K32" s="8">
        <f>200*6+400*6-200+400*6+400*6-400*4</f>
        <v>6600</v>
      </c>
      <c r="L32" s="30">
        <f t="shared" si="0"/>
        <v>69490</v>
      </c>
      <c r="M32" s="29">
        <f>SUM(O32:EI32)</f>
        <v>66490</v>
      </c>
      <c r="N32" s="29">
        <f t="shared" si="1"/>
        <v>3000</v>
      </c>
      <c r="AA32" s="31"/>
      <c r="AB32" s="31">
        <f>2250/2</f>
        <v>1125</v>
      </c>
      <c r="AC32" s="31">
        <v>2250</v>
      </c>
      <c r="AD32" s="31">
        <v>2250</v>
      </c>
      <c r="AE32" s="31">
        <v>2250</v>
      </c>
      <c r="AF32" s="31">
        <v>2250</v>
      </c>
      <c r="AG32" s="31">
        <f>2250-1750</f>
        <v>500</v>
      </c>
      <c r="AH32" s="31">
        <v>2250</v>
      </c>
      <c r="AI32" s="31">
        <v>2250</v>
      </c>
      <c r="AJ32" s="31">
        <v>2250</v>
      </c>
      <c r="AK32" s="31">
        <v>2250</v>
      </c>
      <c r="AL32" s="31">
        <v>2250</v>
      </c>
      <c r="AM32" s="31">
        <v>2250</v>
      </c>
      <c r="AN32" s="31">
        <v>2250</v>
      </c>
      <c r="AO32" s="31">
        <v>2250</v>
      </c>
      <c r="AP32" s="31">
        <v>2250</v>
      </c>
      <c r="AQ32" s="31">
        <v>2250</v>
      </c>
      <c r="AR32" s="31">
        <v>2250</v>
      </c>
      <c r="AS32" s="31">
        <v>2250</v>
      </c>
      <c r="AT32" s="31">
        <v>2250</v>
      </c>
      <c r="AU32" s="31">
        <v>2250</v>
      </c>
      <c r="AV32" s="31">
        <v>2250</v>
      </c>
      <c r="AW32" s="31">
        <v>2250</v>
      </c>
      <c r="AX32" s="31">
        <v>2250</v>
      </c>
      <c r="AY32" s="31">
        <v>2250</v>
      </c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6"/>
      <c r="BY32" s="12"/>
      <c r="BZ32" s="12">
        <f>400-180</f>
        <v>220</v>
      </c>
      <c r="CA32" s="12">
        <v>400</v>
      </c>
      <c r="CB32" s="12">
        <f>400-60</f>
        <v>340</v>
      </c>
      <c r="CC32" s="12">
        <v>400</v>
      </c>
      <c r="CD32" s="12">
        <v>400</v>
      </c>
      <c r="CE32" s="12">
        <f>400-400</f>
        <v>0</v>
      </c>
      <c r="CF32" s="12">
        <v>400</v>
      </c>
      <c r="CG32" s="12">
        <v>400</v>
      </c>
      <c r="CH32" s="12">
        <v>400</v>
      </c>
      <c r="CI32" s="12">
        <v>400</v>
      </c>
      <c r="CJ32" s="12">
        <f>400-120</f>
        <v>280</v>
      </c>
      <c r="CK32" s="31">
        <v>400</v>
      </c>
      <c r="CL32" s="31">
        <v>400</v>
      </c>
      <c r="CM32" s="31">
        <v>400</v>
      </c>
      <c r="CN32" s="31">
        <f>400-75</f>
        <v>325</v>
      </c>
      <c r="CO32" s="31">
        <v>400</v>
      </c>
      <c r="CP32" s="31">
        <v>400</v>
      </c>
      <c r="CQ32" s="31">
        <v>400</v>
      </c>
      <c r="CR32" s="12">
        <v>400</v>
      </c>
      <c r="CS32" s="12">
        <v>400</v>
      </c>
      <c r="CT32" s="12">
        <v>400</v>
      </c>
      <c r="CU32" s="12">
        <v>400</v>
      </c>
      <c r="CV32" s="12">
        <v>400</v>
      </c>
      <c r="CW32" s="12">
        <v>400</v>
      </c>
      <c r="CX32" s="36"/>
      <c r="DK32" s="12"/>
      <c r="DL32" s="12">
        <v>200</v>
      </c>
      <c r="DM32" s="12">
        <v>200</v>
      </c>
      <c r="DN32" s="12">
        <v>200</v>
      </c>
      <c r="DO32" s="12">
        <v>200</v>
      </c>
      <c r="DP32" s="12">
        <v>200</v>
      </c>
      <c r="DQ32" s="12">
        <f>200-200</f>
        <v>0</v>
      </c>
      <c r="DR32" s="12">
        <v>400</v>
      </c>
      <c r="DS32" s="12">
        <v>400</v>
      </c>
      <c r="DT32" s="12">
        <v>400</v>
      </c>
      <c r="DU32" s="12">
        <v>400</v>
      </c>
      <c r="DV32" s="12">
        <v>400</v>
      </c>
      <c r="DW32" s="12">
        <v>400</v>
      </c>
      <c r="DX32" s="12">
        <v>400</v>
      </c>
      <c r="DY32" s="12">
        <v>400</v>
      </c>
      <c r="DZ32" s="12">
        <v>400</v>
      </c>
      <c r="EA32" s="12">
        <v>400</v>
      </c>
      <c r="EB32" s="12">
        <v>400</v>
      </c>
      <c r="EC32" s="12">
        <v>400</v>
      </c>
      <c r="ED32" s="31">
        <v>400</v>
      </c>
      <c r="EE32" s="12">
        <v>400</v>
      </c>
      <c r="EF32" s="12">
        <f>400-400</f>
        <v>0</v>
      </c>
      <c r="EG32" s="12">
        <f t="shared" ref="EG32:EI32" si="4">400-400</f>
        <v>0</v>
      </c>
      <c r="EH32" s="12">
        <f t="shared" si="4"/>
        <v>0</v>
      </c>
      <c r="EI32" s="12">
        <f t="shared" si="4"/>
        <v>0</v>
      </c>
    </row>
    <row r="33" spans="1:140" s="34" customFormat="1" ht="22.5" customHeight="1">
      <c r="A33" s="59">
        <v>31</v>
      </c>
      <c r="B33" s="59" t="s">
        <v>1069</v>
      </c>
      <c r="C33" s="53" t="s">
        <v>1163</v>
      </c>
      <c r="D33" s="50">
        <f>1500+300+600+600</f>
        <v>3000</v>
      </c>
      <c r="E33" s="80" t="s">
        <v>1164</v>
      </c>
      <c r="F33" s="80" t="s">
        <v>1165</v>
      </c>
      <c r="G33" s="141">
        <f>2250*25</f>
        <v>56250</v>
      </c>
      <c r="H33" s="80" t="s">
        <v>1165</v>
      </c>
      <c r="I33" s="89">
        <f>400+400+400+400+400*2-135-75+400+400*2-75+400*2+400*2+400-150+400*5+400*6-150</f>
        <v>9415</v>
      </c>
      <c r="J33" s="51"/>
      <c r="K33" s="8"/>
      <c r="L33" s="29">
        <f t="shared" si="0"/>
        <v>68665</v>
      </c>
      <c r="M33" s="29">
        <f>SUM(O33:DX33)</f>
        <v>65665</v>
      </c>
      <c r="N33" s="29">
        <f t="shared" si="1"/>
        <v>3000</v>
      </c>
      <c r="AA33" s="31">
        <v>2250</v>
      </c>
      <c r="AB33" s="31">
        <v>2250</v>
      </c>
      <c r="AC33" s="31">
        <v>2250</v>
      </c>
      <c r="AD33" s="31">
        <v>2250</v>
      </c>
      <c r="AE33" s="31">
        <v>2250</v>
      </c>
      <c r="AF33" s="31">
        <v>2250</v>
      </c>
      <c r="AG33" s="31">
        <v>2250</v>
      </c>
      <c r="AH33" s="31">
        <v>2250</v>
      </c>
      <c r="AI33" s="31">
        <v>2250</v>
      </c>
      <c r="AJ33" s="31">
        <v>2250</v>
      </c>
      <c r="AK33" s="31">
        <v>2250</v>
      </c>
      <c r="AL33" s="31">
        <v>2250</v>
      </c>
      <c r="AM33" s="31">
        <v>2250</v>
      </c>
      <c r="AN33" s="31">
        <v>2250</v>
      </c>
      <c r="AO33" s="31">
        <v>2250</v>
      </c>
      <c r="AP33" s="31">
        <v>2250</v>
      </c>
      <c r="AQ33" s="31">
        <v>2250</v>
      </c>
      <c r="AR33" s="31">
        <v>2250</v>
      </c>
      <c r="AS33" s="31">
        <v>2250</v>
      </c>
      <c r="AT33" s="31">
        <v>2250</v>
      </c>
      <c r="AU33" s="31">
        <v>2250</v>
      </c>
      <c r="AV33" s="31">
        <v>2250</v>
      </c>
      <c r="AW33" s="31">
        <v>2250</v>
      </c>
      <c r="AX33" s="31">
        <v>2250</v>
      </c>
      <c r="AY33" s="31">
        <v>2250</v>
      </c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6"/>
      <c r="BY33" s="12">
        <v>400</v>
      </c>
      <c r="BZ33" s="12">
        <f>400-135</f>
        <v>265</v>
      </c>
      <c r="CA33" s="12">
        <f>400-75</f>
        <v>325</v>
      </c>
      <c r="CB33" s="12">
        <v>400</v>
      </c>
      <c r="CC33" s="12">
        <v>400</v>
      </c>
      <c r="CD33" s="12">
        <f>400-75</f>
        <v>325</v>
      </c>
      <c r="CE33" s="12">
        <v>400</v>
      </c>
      <c r="CF33" s="12">
        <v>400</v>
      </c>
      <c r="CG33" s="12">
        <v>400</v>
      </c>
      <c r="CH33" s="12">
        <v>400</v>
      </c>
      <c r="CI33" s="12">
        <v>400</v>
      </c>
      <c r="CJ33" s="12">
        <f>400-150</f>
        <v>250</v>
      </c>
      <c r="CK33" s="31">
        <v>400</v>
      </c>
      <c r="CL33" s="31">
        <v>400</v>
      </c>
      <c r="CM33" s="31">
        <v>400</v>
      </c>
      <c r="CN33" s="31">
        <v>400</v>
      </c>
      <c r="CO33" s="31">
        <v>400</v>
      </c>
      <c r="CP33" s="31">
        <f>400-150</f>
        <v>250</v>
      </c>
      <c r="CQ33" s="31">
        <v>400</v>
      </c>
      <c r="CR33" s="31">
        <v>400</v>
      </c>
      <c r="CS33" s="31">
        <v>400</v>
      </c>
      <c r="CT33" s="31">
        <v>400</v>
      </c>
      <c r="CU33" s="31">
        <v>400</v>
      </c>
      <c r="CV33" s="31">
        <v>400</v>
      </c>
      <c r="CW33" s="31">
        <v>400</v>
      </c>
      <c r="CX33" s="36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31"/>
      <c r="EE33" s="12"/>
      <c r="EF33" s="12"/>
      <c r="EG33" s="12"/>
      <c r="EH33" s="12"/>
      <c r="EI33" s="12"/>
    </row>
    <row r="34" spans="1:140" s="34" customFormat="1" ht="22.5" customHeight="1">
      <c r="A34" s="59">
        <v>32</v>
      </c>
      <c r="B34" s="59" t="s">
        <v>1069</v>
      </c>
      <c r="C34" s="51" t="s">
        <v>1166</v>
      </c>
      <c r="D34" s="50">
        <f>1200+300+300+600+600</f>
        <v>3000</v>
      </c>
      <c r="E34" s="52" t="s">
        <v>1167</v>
      </c>
      <c r="F34" s="52" t="s">
        <v>1155</v>
      </c>
      <c r="G34" s="141">
        <f>2250*25</f>
        <v>56250</v>
      </c>
      <c r="H34" s="80" t="s">
        <v>1165</v>
      </c>
      <c r="I34" s="89">
        <f>400+400-45+400+400-45+400-75+400+400+400-45+400+400+400+400+400+400+400+400+400*2-75+400*7</f>
        <v>9715</v>
      </c>
      <c r="J34" s="52"/>
      <c r="K34" s="8"/>
      <c r="L34" s="30">
        <f t="shared" si="0"/>
        <v>68965</v>
      </c>
      <c r="M34" s="29">
        <f>SUM(O34:DX34)</f>
        <v>65965</v>
      </c>
      <c r="N34" s="29">
        <f t="shared" si="1"/>
        <v>3000</v>
      </c>
      <c r="AA34" s="31">
        <v>2250</v>
      </c>
      <c r="AB34" s="31">
        <v>2250</v>
      </c>
      <c r="AC34" s="31">
        <v>2250</v>
      </c>
      <c r="AD34" s="31">
        <v>2250</v>
      </c>
      <c r="AE34" s="31">
        <v>2250</v>
      </c>
      <c r="AF34" s="31">
        <v>2250</v>
      </c>
      <c r="AG34" s="31">
        <v>2250</v>
      </c>
      <c r="AH34" s="31">
        <v>2250</v>
      </c>
      <c r="AI34" s="31">
        <v>2250</v>
      </c>
      <c r="AJ34" s="31">
        <v>2250</v>
      </c>
      <c r="AK34" s="31">
        <v>2250</v>
      </c>
      <c r="AL34" s="31">
        <v>2250</v>
      </c>
      <c r="AM34" s="31">
        <v>2250</v>
      </c>
      <c r="AN34" s="31">
        <v>2250</v>
      </c>
      <c r="AO34" s="31">
        <v>2250</v>
      </c>
      <c r="AP34" s="31">
        <v>2250</v>
      </c>
      <c r="AQ34" s="31">
        <v>2250</v>
      </c>
      <c r="AR34" s="31">
        <v>2250</v>
      </c>
      <c r="AS34" s="31">
        <v>2250</v>
      </c>
      <c r="AT34" s="31">
        <v>2250</v>
      </c>
      <c r="AU34" s="31">
        <v>2250</v>
      </c>
      <c r="AV34" s="31">
        <v>2250</v>
      </c>
      <c r="AW34" s="31">
        <v>2250</v>
      </c>
      <c r="AX34" s="31">
        <v>2250</v>
      </c>
      <c r="AY34" s="31">
        <v>2250</v>
      </c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6"/>
      <c r="BY34" s="12">
        <f>400-15*3</f>
        <v>355</v>
      </c>
      <c r="BZ34" s="12">
        <v>400</v>
      </c>
      <c r="CA34" s="12">
        <f>400-75</f>
        <v>325</v>
      </c>
      <c r="CB34" s="12">
        <v>400</v>
      </c>
      <c r="CC34" s="12">
        <f>400-45</f>
        <v>355</v>
      </c>
      <c r="CD34" s="12">
        <f>400-45</f>
        <v>355</v>
      </c>
      <c r="CE34" s="12">
        <v>400</v>
      </c>
      <c r="CF34" s="12">
        <v>400</v>
      </c>
      <c r="CG34" s="12">
        <v>400</v>
      </c>
      <c r="CH34" s="12">
        <v>400</v>
      </c>
      <c r="CI34" s="12">
        <v>400</v>
      </c>
      <c r="CJ34" s="12">
        <v>400</v>
      </c>
      <c r="CK34" s="31">
        <v>400</v>
      </c>
      <c r="CL34" s="31">
        <v>400</v>
      </c>
      <c r="CM34" s="31">
        <v>400</v>
      </c>
      <c r="CN34" s="31">
        <f>400-75</f>
        <v>325</v>
      </c>
      <c r="CO34" s="31">
        <v>400</v>
      </c>
      <c r="CP34" s="31">
        <v>400</v>
      </c>
      <c r="CQ34" s="31">
        <v>400</v>
      </c>
      <c r="CR34" s="31">
        <v>400</v>
      </c>
      <c r="CS34" s="31">
        <v>400</v>
      </c>
      <c r="CT34" s="31">
        <v>400</v>
      </c>
      <c r="CU34" s="31">
        <v>400</v>
      </c>
      <c r="CV34" s="31">
        <v>400</v>
      </c>
      <c r="CW34" s="31">
        <v>400</v>
      </c>
      <c r="CX34" s="36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31"/>
      <c r="EE34" s="12"/>
      <c r="EF34" s="12"/>
      <c r="EG34" s="12"/>
      <c r="EH34" s="12"/>
      <c r="EI34" s="12"/>
    </row>
    <row r="35" spans="1:140" s="34" customFormat="1" ht="22.5" customHeight="1">
      <c r="A35" s="59">
        <v>33</v>
      </c>
      <c r="B35" s="59" t="s">
        <v>1069</v>
      </c>
      <c r="C35" s="51" t="s">
        <v>1168</v>
      </c>
      <c r="D35" s="50">
        <f>1200+300+300+600+600</f>
        <v>3000</v>
      </c>
      <c r="E35" s="52" t="s">
        <v>1169</v>
      </c>
      <c r="F35" s="52" t="s">
        <v>1170</v>
      </c>
      <c r="G35" s="141">
        <f>2500*7+2500*6-1250-1250-2000+2500*6-1250+2500*6-2000</f>
        <v>54750</v>
      </c>
      <c r="H35" s="80" t="s">
        <v>1165</v>
      </c>
      <c r="I35" s="89">
        <f>400*7+400-60-60-240-210+400*5-400+400*6-45-195+400*6-45-75-400</f>
        <v>8270</v>
      </c>
      <c r="J35" s="52" t="s">
        <v>1170</v>
      </c>
      <c r="K35" s="8">
        <f>200*7+400*6-200+400*6+400*6</f>
        <v>8400</v>
      </c>
      <c r="L35" s="30">
        <f t="shared" si="0"/>
        <v>74420</v>
      </c>
      <c r="M35" s="29">
        <f>SUM(O35:EI35)</f>
        <v>71420</v>
      </c>
      <c r="N35" s="29">
        <f t="shared" si="1"/>
        <v>3000</v>
      </c>
      <c r="AA35" s="31">
        <v>2500</v>
      </c>
      <c r="AB35" s="31">
        <v>2500</v>
      </c>
      <c r="AC35" s="31">
        <v>2500</v>
      </c>
      <c r="AD35" s="31">
        <v>2500</v>
      </c>
      <c r="AE35" s="31">
        <f>2500/2</f>
        <v>1250</v>
      </c>
      <c r="AF35" s="31">
        <f>2500/2</f>
        <v>1250</v>
      </c>
      <c r="AG35" s="31">
        <f>2500-2000</f>
        <v>500</v>
      </c>
      <c r="AH35" s="31">
        <v>2500</v>
      </c>
      <c r="AI35" s="31">
        <v>2500</v>
      </c>
      <c r="AJ35" s="31">
        <v>2500</v>
      </c>
      <c r="AK35" s="31">
        <v>2500</v>
      </c>
      <c r="AL35" s="31">
        <f>2500/2</f>
        <v>1250</v>
      </c>
      <c r="AM35" s="31">
        <v>2500</v>
      </c>
      <c r="AN35" s="31">
        <v>2500</v>
      </c>
      <c r="AO35" s="31">
        <v>2500</v>
      </c>
      <c r="AP35" s="31">
        <v>2500</v>
      </c>
      <c r="AQ35" s="31">
        <v>2500</v>
      </c>
      <c r="AR35" s="31">
        <v>2500</v>
      </c>
      <c r="AS35" s="31">
        <f>2500-2000</f>
        <v>500</v>
      </c>
      <c r="AT35" s="31">
        <v>2500</v>
      </c>
      <c r="AU35" s="31">
        <v>2500</v>
      </c>
      <c r="AV35" s="31">
        <v>2500</v>
      </c>
      <c r="AW35" s="31">
        <v>2500</v>
      </c>
      <c r="AX35" s="31">
        <v>2500</v>
      </c>
      <c r="AY35" s="31">
        <v>2500</v>
      </c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6"/>
      <c r="BY35" s="12">
        <f>400-60</f>
        <v>340</v>
      </c>
      <c r="BZ35" s="12">
        <v>400</v>
      </c>
      <c r="CA35" s="12">
        <v>400</v>
      </c>
      <c r="CB35" s="12">
        <f>400-60</f>
        <v>340</v>
      </c>
      <c r="CC35" s="12">
        <f>400-240</f>
        <v>160</v>
      </c>
      <c r="CD35" s="12">
        <f>400-210</f>
        <v>190</v>
      </c>
      <c r="CE35" s="12">
        <f>400-400</f>
        <v>0</v>
      </c>
      <c r="CF35" s="12">
        <v>400</v>
      </c>
      <c r="CG35" s="12">
        <v>400</v>
      </c>
      <c r="CH35" s="12">
        <f>400-45</f>
        <v>355</v>
      </c>
      <c r="CI35" s="12">
        <v>400</v>
      </c>
      <c r="CJ35" s="12">
        <f>400-195</f>
        <v>205</v>
      </c>
      <c r="CK35" s="31">
        <v>400</v>
      </c>
      <c r="CL35" s="31">
        <v>400</v>
      </c>
      <c r="CM35" s="31">
        <v>400</v>
      </c>
      <c r="CN35" s="31">
        <f>400-45</f>
        <v>355</v>
      </c>
      <c r="CO35" s="12">
        <v>400</v>
      </c>
      <c r="CP35" s="12">
        <f>400-75</f>
        <v>325</v>
      </c>
      <c r="CQ35" s="12">
        <f>400-400</f>
        <v>0</v>
      </c>
      <c r="CR35" s="12">
        <v>400</v>
      </c>
      <c r="CS35" s="12">
        <v>400</v>
      </c>
      <c r="CT35" s="12">
        <v>400</v>
      </c>
      <c r="CU35" s="12">
        <v>400</v>
      </c>
      <c r="CV35" s="12">
        <v>400</v>
      </c>
      <c r="CW35" s="12">
        <v>400</v>
      </c>
      <c r="CX35" s="36"/>
      <c r="DK35" s="12">
        <v>200</v>
      </c>
      <c r="DL35" s="12">
        <v>200</v>
      </c>
      <c r="DM35" s="12">
        <v>200</v>
      </c>
      <c r="DN35" s="12">
        <v>200</v>
      </c>
      <c r="DO35" s="12">
        <v>200</v>
      </c>
      <c r="DP35" s="12">
        <v>200</v>
      </c>
      <c r="DQ35" s="12">
        <f>200-200</f>
        <v>0</v>
      </c>
      <c r="DR35" s="12">
        <v>400</v>
      </c>
      <c r="DS35" s="12">
        <v>400</v>
      </c>
      <c r="DT35" s="12">
        <v>400</v>
      </c>
      <c r="DU35" s="12">
        <v>400</v>
      </c>
      <c r="DV35" s="12">
        <v>400</v>
      </c>
      <c r="DW35" s="12">
        <v>400</v>
      </c>
      <c r="DX35" s="12">
        <v>400</v>
      </c>
      <c r="DY35" s="12">
        <v>400</v>
      </c>
      <c r="DZ35" s="12">
        <v>400</v>
      </c>
      <c r="EA35" s="12">
        <v>400</v>
      </c>
      <c r="EB35" s="12">
        <v>400</v>
      </c>
      <c r="EC35" s="12">
        <v>400</v>
      </c>
      <c r="ED35" s="31">
        <v>400</v>
      </c>
      <c r="EE35" s="12">
        <v>400</v>
      </c>
      <c r="EF35" s="12">
        <v>400</v>
      </c>
      <c r="EG35" s="12">
        <v>400</v>
      </c>
      <c r="EH35" s="12">
        <v>400</v>
      </c>
      <c r="EI35" s="12">
        <v>400</v>
      </c>
    </row>
    <row r="36" spans="1:140" s="34" customFormat="1" ht="22.5" customHeight="1">
      <c r="A36" s="59">
        <v>34</v>
      </c>
      <c r="B36" s="59" t="s">
        <v>1069</v>
      </c>
      <c r="C36" s="51" t="s">
        <v>1171</v>
      </c>
      <c r="D36" s="50">
        <f>1200+300+300+600+600</f>
        <v>3000</v>
      </c>
      <c r="E36" s="52" t="s">
        <v>1172</v>
      </c>
      <c r="F36" s="52" t="s">
        <v>1170</v>
      </c>
      <c r="G36" s="141">
        <f>2500*7+2500*6+2500*6+2500*6</f>
        <v>62500</v>
      </c>
      <c r="H36" s="80" t="s">
        <v>1170</v>
      </c>
      <c r="I36" s="89">
        <f>400*7+400*6-60-75-90+400*6-180+400*6-75-165</f>
        <v>9355</v>
      </c>
      <c r="J36" s="52" t="s">
        <v>1170</v>
      </c>
      <c r="K36" s="8">
        <f>200*7+400*6+400*6+400*6</f>
        <v>8600</v>
      </c>
      <c r="L36" s="30">
        <f t="shared" si="0"/>
        <v>83455</v>
      </c>
      <c r="M36" s="29">
        <f>SUM(O36:EI36)</f>
        <v>80455</v>
      </c>
      <c r="N36" s="29">
        <f t="shared" si="1"/>
        <v>3000</v>
      </c>
      <c r="AA36" s="31">
        <v>2500</v>
      </c>
      <c r="AB36" s="31">
        <v>2500</v>
      </c>
      <c r="AC36" s="31">
        <v>2500</v>
      </c>
      <c r="AD36" s="31">
        <v>2500</v>
      </c>
      <c r="AE36" s="31">
        <v>2500</v>
      </c>
      <c r="AF36" s="31">
        <v>2500</v>
      </c>
      <c r="AG36" s="31">
        <v>2500</v>
      </c>
      <c r="AH36" s="31">
        <v>2500</v>
      </c>
      <c r="AI36" s="31">
        <v>2500</v>
      </c>
      <c r="AJ36" s="31">
        <v>2500</v>
      </c>
      <c r="AK36" s="31">
        <v>2500</v>
      </c>
      <c r="AL36" s="31">
        <v>2500</v>
      </c>
      <c r="AM36" s="31">
        <v>2500</v>
      </c>
      <c r="AN36" s="31">
        <v>2500</v>
      </c>
      <c r="AO36" s="31">
        <v>2500</v>
      </c>
      <c r="AP36" s="31">
        <v>2500</v>
      </c>
      <c r="AQ36" s="31">
        <v>2500</v>
      </c>
      <c r="AR36" s="31">
        <v>2500</v>
      </c>
      <c r="AS36" s="31">
        <v>2500</v>
      </c>
      <c r="AT36" s="31">
        <v>2500</v>
      </c>
      <c r="AU36" s="31">
        <v>2500</v>
      </c>
      <c r="AV36" s="31">
        <v>2500</v>
      </c>
      <c r="AW36" s="31">
        <v>2500</v>
      </c>
      <c r="AX36" s="31">
        <v>2500</v>
      </c>
      <c r="AY36" s="31">
        <v>2500</v>
      </c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6"/>
      <c r="BY36" s="12">
        <f>400-60</f>
        <v>340</v>
      </c>
      <c r="BZ36" s="12">
        <v>400</v>
      </c>
      <c r="CA36" s="12">
        <v>400</v>
      </c>
      <c r="CB36" s="12">
        <v>400</v>
      </c>
      <c r="CC36" s="12">
        <f>400-75</f>
        <v>325</v>
      </c>
      <c r="CD36" s="12">
        <v>400</v>
      </c>
      <c r="CE36" s="12">
        <f>400-90</f>
        <v>310</v>
      </c>
      <c r="CF36" s="12">
        <v>400</v>
      </c>
      <c r="CG36" s="12">
        <v>400</v>
      </c>
      <c r="CH36" s="12">
        <v>400</v>
      </c>
      <c r="CI36" s="12">
        <v>400</v>
      </c>
      <c r="CJ36" s="12">
        <f>400-180</f>
        <v>220</v>
      </c>
      <c r="CK36" s="31">
        <v>400</v>
      </c>
      <c r="CL36" s="31">
        <v>400</v>
      </c>
      <c r="CM36" s="31">
        <v>400</v>
      </c>
      <c r="CN36" s="31">
        <v>400</v>
      </c>
      <c r="CO36" s="12">
        <f>400-75</f>
        <v>325</v>
      </c>
      <c r="CP36" s="12">
        <f>400-165</f>
        <v>235</v>
      </c>
      <c r="CQ36" s="12">
        <v>400</v>
      </c>
      <c r="CR36" s="12">
        <v>400</v>
      </c>
      <c r="CS36" s="12">
        <v>400</v>
      </c>
      <c r="CT36" s="12">
        <v>400</v>
      </c>
      <c r="CU36" s="12">
        <v>400</v>
      </c>
      <c r="CV36" s="12">
        <v>400</v>
      </c>
      <c r="CW36" s="12">
        <v>400</v>
      </c>
      <c r="CX36" s="36"/>
      <c r="DK36" s="12">
        <v>200</v>
      </c>
      <c r="DL36" s="12">
        <v>200</v>
      </c>
      <c r="DM36" s="12">
        <v>200</v>
      </c>
      <c r="DN36" s="12">
        <v>200</v>
      </c>
      <c r="DO36" s="12">
        <v>200</v>
      </c>
      <c r="DP36" s="12">
        <v>200</v>
      </c>
      <c r="DQ36" s="12">
        <v>200</v>
      </c>
      <c r="DR36" s="12">
        <v>400</v>
      </c>
      <c r="DS36" s="12">
        <v>400</v>
      </c>
      <c r="DT36" s="12">
        <v>400</v>
      </c>
      <c r="DU36" s="12">
        <v>400</v>
      </c>
      <c r="DV36" s="12">
        <v>400</v>
      </c>
      <c r="DW36" s="12">
        <v>400</v>
      </c>
      <c r="DX36" s="12">
        <v>400</v>
      </c>
      <c r="DY36" s="12">
        <v>400</v>
      </c>
      <c r="DZ36" s="12">
        <v>400</v>
      </c>
      <c r="EA36" s="12">
        <v>400</v>
      </c>
      <c r="EB36" s="12">
        <v>400</v>
      </c>
      <c r="EC36" s="12">
        <v>400</v>
      </c>
      <c r="ED36" s="31">
        <v>400</v>
      </c>
      <c r="EE36" s="12">
        <v>400</v>
      </c>
      <c r="EF36" s="12">
        <v>400</v>
      </c>
      <c r="EG36" s="12">
        <v>400</v>
      </c>
      <c r="EH36" s="12">
        <v>400</v>
      </c>
      <c r="EI36" s="12">
        <v>400</v>
      </c>
    </row>
    <row r="37" spans="1:140" s="34" customFormat="1" ht="22.5" customHeight="1">
      <c r="A37" s="59">
        <v>35</v>
      </c>
      <c r="B37" s="59" t="s">
        <v>1069</v>
      </c>
      <c r="C37" s="51" t="s">
        <v>1173</v>
      </c>
      <c r="D37" s="50">
        <f>1200+300+300+600+600</f>
        <v>3000</v>
      </c>
      <c r="E37" s="52" t="s">
        <v>1174</v>
      </c>
      <c r="F37" s="52" t="s">
        <v>1084</v>
      </c>
      <c r="G37" s="141">
        <f>2500*6+2500*6+2500*6+2500*6</f>
        <v>60000</v>
      </c>
      <c r="H37" s="80" t="s">
        <v>1084</v>
      </c>
      <c r="I37" s="89">
        <f>400+400+400*2+400+400-150+400-135+400*2+400+400*2+400*2+400*2+400*2-60+400*6</f>
        <v>9255</v>
      </c>
      <c r="J37" s="51"/>
      <c r="K37" s="8"/>
      <c r="L37" s="30">
        <f t="shared" si="0"/>
        <v>72255</v>
      </c>
      <c r="M37" s="29">
        <f>SUM(O37:DX37)</f>
        <v>69255</v>
      </c>
      <c r="N37" s="29">
        <f>L37-M37</f>
        <v>3000</v>
      </c>
      <c r="AA37" s="31"/>
      <c r="AB37" s="31">
        <v>2500</v>
      </c>
      <c r="AC37" s="31">
        <v>2500</v>
      </c>
      <c r="AD37" s="31">
        <v>2500</v>
      </c>
      <c r="AE37" s="31">
        <v>2500</v>
      </c>
      <c r="AF37" s="31">
        <v>2500</v>
      </c>
      <c r="AG37" s="31">
        <v>2500</v>
      </c>
      <c r="AH37" s="31">
        <v>2500</v>
      </c>
      <c r="AI37" s="31">
        <v>2500</v>
      </c>
      <c r="AJ37" s="31">
        <v>2500</v>
      </c>
      <c r="AK37" s="31">
        <v>2500</v>
      </c>
      <c r="AL37" s="31">
        <v>2500</v>
      </c>
      <c r="AM37" s="31">
        <v>2500</v>
      </c>
      <c r="AN37" s="31">
        <v>2500</v>
      </c>
      <c r="AO37" s="31">
        <v>2500</v>
      </c>
      <c r="AP37" s="31">
        <v>2500</v>
      </c>
      <c r="AQ37" s="31">
        <v>2500</v>
      </c>
      <c r="AR37" s="31">
        <v>2500</v>
      </c>
      <c r="AS37" s="31">
        <v>2500</v>
      </c>
      <c r="AT37" s="31">
        <v>2500</v>
      </c>
      <c r="AU37" s="31">
        <v>2500</v>
      </c>
      <c r="AV37" s="31">
        <v>2500</v>
      </c>
      <c r="AW37" s="31">
        <v>2500</v>
      </c>
      <c r="AX37" s="31">
        <v>2500</v>
      </c>
      <c r="AY37" s="31">
        <v>2500</v>
      </c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6"/>
      <c r="BY37" s="12"/>
      <c r="BZ37" s="12">
        <v>400</v>
      </c>
      <c r="CA37" s="12">
        <v>400</v>
      </c>
      <c r="CB37" s="12">
        <v>400</v>
      </c>
      <c r="CC37" s="12">
        <f>400-150</f>
        <v>250</v>
      </c>
      <c r="CD37" s="12">
        <f>400-135</f>
        <v>265</v>
      </c>
      <c r="CE37" s="12">
        <v>400</v>
      </c>
      <c r="CF37" s="12">
        <v>400</v>
      </c>
      <c r="CG37" s="12">
        <v>400</v>
      </c>
      <c r="CH37" s="12">
        <v>400</v>
      </c>
      <c r="CI37" s="12">
        <v>400</v>
      </c>
      <c r="CJ37" s="12">
        <v>400</v>
      </c>
      <c r="CK37" s="31">
        <v>400</v>
      </c>
      <c r="CL37" s="31">
        <v>400</v>
      </c>
      <c r="CM37" s="31">
        <v>400</v>
      </c>
      <c r="CN37" s="31">
        <f>400-60</f>
        <v>340</v>
      </c>
      <c r="CO37" s="31">
        <v>400</v>
      </c>
      <c r="CP37" s="31">
        <v>400</v>
      </c>
      <c r="CQ37" s="31">
        <v>400</v>
      </c>
      <c r="CR37" s="31">
        <v>400</v>
      </c>
      <c r="CS37" s="31">
        <v>400</v>
      </c>
      <c r="CT37" s="31">
        <v>400</v>
      </c>
      <c r="CU37" s="31">
        <v>400</v>
      </c>
      <c r="CV37" s="31">
        <v>400</v>
      </c>
      <c r="CW37" s="31">
        <v>400</v>
      </c>
      <c r="CX37" s="36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31"/>
      <c r="EE37" s="12"/>
      <c r="EF37" s="12"/>
      <c r="EG37" s="12"/>
      <c r="EH37" s="12"/>
      <c r="EI37" s="12"/>
    </row>
    <row r="38" spans="1:140" s="34" customFormat="1" ht="22.5" customHeight="1">
      <c r="A38" s="59">
        <v>36</v>
      </c>
      <c r="B38" s="59" t="s">
        <v>1069</v>
      </c>
      <c r="C38" s="51" t="s">
        <v>1175</v>
      </c>
      <c r="D38" s="50">
        <f>1200+300+300+600+600</f>
        <v>3000</v>
      </c>
      <c r="E38" s="52" t="s">
        <v>1176</v>
      </c>
      <c r="F38" s="52" t="s">
        <v>1084</v>
      </c>
      <c r="G38" s="141">
        <f>2500*6*0.9+2250*6-1750+2250*6-1750-1750+2500*6*0.9</f>
        <v>48750</v>
      </c>
      <c r="H38" s="80" t="s">
        <v>1177</v>
      </c>
      <c r="I38" s="89">
        <f>400*6+400*4-75-45-135-400+400*6-120+400*6-60-90</f>
        <v>7875</v>
      </c>
      <c r="J38" s="52" t="s">
        <v>1178</v>
      </c>
      <c r="K38" s="8">
        <f>200*4+400*4-200+400*6+400*4</f>
        <v>6200</v>
      </c>
      <c r="L38" s="30">
        <f t="shared" si="0"/>
        <v>65825</v>
      </c>
      <c r="M38" s="29">
        <f>SUM(O38:EI38)</f>
        <v>62825</v>
      </c>
      <c r="N38" s="29">
        <f>L38-M38</f>
        <v>3000</v>
      </c>
      <c r="AA38" s="31"/>
      <c r="AB38" s="31">
        <v>2250</v>
      </c>
      <c r="AC38" s="31">
        <v>2250</v>
      </c>
      <c r="AD38" s="31">
        <v>2250</v>
      </c>
      <c r="AE38" s="31">
        <v>2250</v>
      </c>
      <c r="AF38" s="31">
        <v>2250</v>
      </c>
      <c r="AG38" s="31">
        <f>2250-1750</f>
        <v>500</v>
      </c>
      <c r="AH38" s="31">
        <v>2250</v>
      </c>
      <c r="AI38" s="31">
        <v>2250</v>
      </c>
      <c r="AJ38" s="31">
        <v>2250</v>
      </c>
      <c r="AK38" s="31">
        <v>2250</v>
      </c>
      <c r="AL38" s="31">
        <f>2250-1750</f>
        <v>500</v>
      </c>
      <c r="AM38" s="31">
        <f>2250-1750</f>
        <v>500</v>
      </c>
      <c r="AN38" s="31">
        <v>2250</v>
      </c>
      <c r="AO38" s="31">
        <v>2250</v>
      </c>
      <c r="AP38" s="31">
        <v>2250</v>
      </c>
      <c r="AQ38" s="31">
        <v>2250</v>
      </c>
      <c r="AR38" s="31">
        <v>2250</v>
      </c>
      <c r="AS38" s="31">
        <v>2250</v>
      </c>
      <c r="AT38" s="31">
        <v>2250</v>
      </c>
      <c r="AU38" s="31">
        <v>2250</v>
      </c>
      <c r="AV38" s="31">
        <v>2250</v>
      </c>
      <c r="AW38" s="31">
        <v>2250</v>
      </c>
      <c r="AX38" s="31">
        <v>2250</v>
      </c>
      <c r="AY38" s="31">
        <v>2250</v>
      </c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6"/>
      <c r="BY38" s="12"/>
      <c r="BZ38" s="12">
        <v>400</v>
      </c>
      <c r="CA38" s="12">
        <v>400</v>
      </c>
      <c r="CB38" s="12">
        <f>400-75</f>
        <v>325</v>
      </c>
      <c r="CC38" s="12">
        <f>400-45</f>
        <v>355</v>
      </c>
      <c r="CD38" s="12">
        <f>400-135</f>
        <v>265</v>
      </c>
      <c r="CE38" s="12">
        <f>400-400</f>
        <v>0</v>
      </c>
      <c r="CF38" s="12">
        <v>400</v>
      </c>
      <c r="CG38" s="12">
        <v>400</v>
      </c>
      <c r="CH38" s="12">
        <f>400-120</f>
        <v>280</v>
      </c>
      <c r="CI38" s="12">
        <v>400</v>
      </c>
      <c r="CJ38" s="12"/>
      <c r="CK38" s="31"/>
      <c r="CL38" s="31">
        <v>400</v>
      </c>
      <c r="CM38" s="31">
        <v>400</v>
      </c>
      <c r="CN38" s="31">
        <v>400</v>
      </c>
      <c r="CO38" s="12">
        <v>400</v>
      </c>
      <c r="CP38" s="12">
        <f>400-60</f>
        <v>340</v>
      </c>
      <c r="CQ38" s="12">
        <f>400-90</f>
        <v>310</v>
      </c>
      <c r="CR38" s="12">
        <v>400</v>
      </c>
      <c r="CS38" s="12">
        <v>400</v>
      </c>
      <c r="CT38" s="12">
        <v>400</v>
      </c>
      <c r="CU38" s="12">
        <v>400</v>
      </c>
      <c r="CV38" s="12">
        <v>400</v>
      </c>
      <c r="CW38" s="12">
        <v>400</v>
      </c>
      <c r="CX38" s="36"/>
      <c r="DK38" s="12"/>
      <c r="DL38" s="12"/>
      <c r="DM38" s="12"/>
      <c r="DN38" s="12">
        <v>200</v>
      </c>
      <c r="DO38" s="12">
        <v>200</v>
      </c>
      <c r="DP38" s="12">
        <v>200</v>
      </c>
      <c r="DQ38" s="12">
        <f>200-200</f>
        <v>0</v>
      </c>
      <c r="DR38" s="12">
        <v>400</v>
      </c>
      <c r="DS38" s="12">
        <v>400</v>
      </c>
      <c r="DT38" s="12">
        <v>400</v>
      </c>
      <c r="DU38" s="12">
        <v>400</v>
      </c>
      <c r="DV38" s="12"/>
      <c r="DW38" s="12"/>
      <c r="DX38" s="12">
        <v>400</v>
      </c>
      <c r="DY38" s="12">
        <v>400</v>
      </c>
      <c r="DZ38" s="12">
        <v>400</v>
      </c>
      <c r="EA38" s="12">
        <v>400</v>
      </c>
      <c r="EB38" s="12">
        <v>400</v>
      </c>
      <c r="EC38" s="12">
        <v>400</v>
      </c>
      <c r="ED38" s="31">
        <v>400</v>
      </c>
      <c r="EE38" s="12">
        <v>400</v>
      </c>
      <c r="EF38" s="12">
        <v>400</v>
      </c>
      <c r="EG38" s="12">
        <v>400</v>
      </c>
      <c r="EH38" s="12"/>
      <c r="EI38" s="12"/>
    </row>
    <row r="39" spans="1:140" s="32" customFormat="1" ht="23.25" customHeight="1">
      <c r="A39" s="59">
        <v>37</v>
      </c>
      <c r="B39" s="59" t="s">
        <v>1069</v>
      </c>
      <c r="C39" s="51" t="s">
        <v>1179</v>
      </c>
      <c r="D39" s="50">
        <f>1200+300+300+600</f>
        <v>2400</v>
      </c>
      <c r="E39" s="80" t="s">
        <v>1180</v>
      </c>
      <c r="F39" s="52" t="s">
        <v>1084</v>
      </c>
      <c r="G39" s="141">
        <f>2500*6+2500*6-2000+2500*6-2000+2500*6-1250-2000-1250</f>
        <v>51500</v>
      </c>
      <c r="H39" s="52" t="s">
        <v>1181</v>
      </c>
      <c r="I39" s="89">
        <f>400*1+400+400+400-45+400-75+400*4-1250-210-45+400-45-165-90+400-60-45+400+400*2+400+400*6-240-400-45+295</f>
        <v>5980</v>
      </c>
      <c r="J39" s="52" t="s">
        <v>1182</v>
      </c>
      <c r="K39" s="8">
        <f>200*6+400-200</f>
        <v>1400</v>
      </c>
      <c r="L39" s="29">
        <f t="shared" si="0"/>
        <v>61280</v>
      </c>
      <c r="M39" s="29">
        <f>SUM(O39:DX39)</f>
        <v>58880</v>
      </c>
      <c r="N39" s="29">
        <f>L39-M39</f>
        <v>2400</v>
      </c>
      <c r="O39" s="29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>
        <v>2500</v>
      </c>
      <c r="AC39" s="31">
        <v>2500</v>
      </c>
      <c r="AD39" s="31">
        <v>2500</v>
      </c>
      <c r="AE39" s="31">
        <f>2500/2</f>
        <v>1250</v>
      </c>
      <c r="AF39" s="31">
        <v>2500</v>
      </c>
      <c r="AG39" s="31">
        <f>2500-2000</f>
        <v>500</v>
      </c>
      <c r="AH39" s="31">
        <v>2500</v>
      </c>
      <c r="AI39" s="31">
        <v>2500</v>
      </c>
      <c r="AJ39" s="31">
        <v>2500</v>
      </c>
      <c r="AK39" s="31">
        <v>2500</v>
      </c>
      <c r="AL39" s="31">
        <v>2500</v>
      </c>
      <c r="AM39" s="31">
        <f>2500-2000</f>
        <v>500</v>
      </c>
      <c r="AN39" s="31">
        <v>2500</v>
      </c>
      <c r="AO39" s="31">
        <v>2500</v>
      </c>
      <c r="AP39" s="31">
        <f>2500/2</f>
        <v>1250</v>
      </c>
      <c r="AQ39" s="31">
        <v>2500</v>
      </c>
      <c r="AR39" s="31">
        <f>2500-2000</f>
        <v>500</v>
      </c>
      <c r="AS39" s="31">
        <f>2500/2</f>
        <v>1250</v>
      </c>
      <c r="AT39" s="31">
        <v>2500</v>
      </c>
      <c r="AU39" s="31">
        <v>2500</v>
      </c>
      <c r="AV39" s="31">
        <v>2500</v>
      </c>
      <c r="AW39" s="31">
        <v>2500</v>
      </c>
      <c r="AX39" s="31">
        <v>2500</v>
      </c>
      <c r="AY39" s="31">
        <v>2500</v>
      </c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9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12"/>
      <c r="BZ39" s="12">
        <f>400-45</f>
        <v>355</v>
      </c>
      <c r="CA39" s="12">
        <v>400</v>
      </c>
      <c r="CB39" s="12">
        <f>400-75</f>
        <v>325</v>
      </c>
      <c r="CC39" s="12">
        <f>400-210</f>
        <v>190</v>
      </c>
      <c r="CD39" s="12">
        <f>400-45</f>
        <v>355</v>
      </c>
      <c r="CE39" s="12"/>
      <c r="CF39" s="12">
        <f>400-45</f>
        <v>355</v>
      </c>
      <c r="CG39" s="12">
        <f>400-165</f>
        <v>235</v>
      </c>
      <c r="CH39" s="12">
        <f>400-90</f>
        <v>310</v>
      </c>
      <c r="CI39" s="12">
        <f>400-60</f>
        <v>340</v>
      </c>
      <c r="CJ39" s="12">
        <f>400-45</f>
        <v>355</v>
      </c>
      <c r="CK39" s="31"/>
      <c r="CL39" s="31">
        <v>400</v>
      </c>
      <c r="CM39" s="31">
        <f>400-45</f>
        <v>355</v>
      </c>
      <c r="CN39" s="31">
        <f>400-240</f>
        <v>160</v>
      </c>
      <c r="CO39" s="31">
        <v>400</v>
      </c>
      <c r="CP39" s="31">
        <f>400-400</f>
        <v>0</v>
      </c>
      <c r="CQ39" s="31">
        <f>295</f>
        <v>295</v>
      </c>
      <c r="CR39" s="31">
        <v>400</v>
      </c>
      <c r="CS39" s="31">
        <v>400</v>
      </c>
      <c r="CT39" s="31">
        <v>400</v>
      </c>
      <c r="CU39" s="31">
        <v>400</v>
      </c>
      <c r="CV39" s="31">
        <v>400</v>
      </c>
      <c r="CW39" s="31">
        <v>400</v>
      </c>
      <c r="CX39" s="180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12"/>
      <c r="DL39" s="12">
        <v>200</v>
      </c>
      <c r="DM39" s="12">
        <v>200</v>
      </c>
      <c r="DN39" s="12">
        <v>200</v>
      </c>
      <c r="DO39" s="12">
        <v>200</v>
      </c>
      <c r="DP39" s="12">
        <v>200</v>
      </c>
      <c r="DQ39" s="12">
        <f>200-200</f>
        <v>0</v>
      </c>
      <c r="DR39" s="12">
        <v>400</v>
      </c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31"/>
      <c r="EE39" s="12"/>
      <c r="EF39" s="12"/>
      <c r="EG39" s="12"/>
      <c r="EH39" s="12"/>
      <c r="EI39" s="12"/>
      <c r="EJ39" s="28"/>
    </row>
    <row r="40" spans="1:140" s="32" customFormat="1" ht="22.5" customHeight="1">
      <c r="A40" s="59">
        <v>38</v>
      </c>
      <c r="B40" s="59" t="s">
        <v>1069</v>
      </c>
      <c r="C40" s="51" t="s">
        <v>1183</v>
      </c>
      <c r="D40" s="50">
        <f>1200+300+300+600+600</f>
        <v>3000</v>
      </c>
      <c r="E40" s="80" t="s">
        <v>1184</v>
      </c>
      <c r="F40" s="52" t="s">
        <v>1084</v>
      </c>
      <c r="G40" s="141">
        <f>2500*6+2500*6-2000+2500*6-2000+2500*6-1250-2000</f>
        <v>52750</v>
      </c>
      <c r="H40" s="52" t="s">
        <v>1084</v>
      </c>
      <c r="I40" s="89">
        <f>400+400+400-45+400-45+400+400*2-60+400*4+400+400*5-400+400*6-150-75-195-400</f>
        <v>7830</v>
      </c>
      <c r="J40" s="52" t="s">
        <v>1185</v>
      </c>
      <c r="K40" s="8">
        <f>200*6+400*6-200+400*6</f>
        <v>5800</v>
      </c>
      <c r="L40" s="29">
        <f t="shared" si="0"/>
        <v>69380</v>
      </c>
      <c r="M40" s="29">
        <f>SUM(O40:EC40)</f>
        <v>66380</v>
      </c>
      <c r="N40" s="29">
        <f>L40-M40</f>
        <v>3000</v>
      </c>
      <c r="O40" s="29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>
        <v>2500</v>
      </c>
      <c r="AC40" s="31">
        <v>2500</v>
      </c>
      <c r="AD40" s="31">
        <v>2500</v>
      </c>
      <c r="AE40" s="31">
        <v>2500</v>
      </c>
      <c r="AF40" s="31">
        <v>2500</v>
      </c>
      <c r="AG40" s="31">
        <f>2500-2000</f>
        <v>500</v>
      </c>
      <c r="AH40" s="31">
        <v>2500</v>
      </c>
      <c r="AI40" s="31">
        <v>2500</v>
      </c>
      <c r="AJ40" s="31">
        <v>2500</v>
      </c>
      <c r="AK40" s="31">
        <v>2500</v>
      </c>
      <c r="AL40" s="31">
        <v>2500</v>
      </c>
      <c r="AM40" s="31">
        <f>2500-2000</f>
        <v>500</v>
      </c>
      <c r="AN40" s="31">
        <v>2500</v>
      </c>
      <c r="AO40" s="31">
        <v>2500</v>
      </c>
      <c r="AP40" s="31">
        <v>2500</v>
      </c>
      <c r="AQ40" s="31">
        <v>2500</v>
      </c>
      <c r="AR40" s="31">
        <f>2500/2</f>
        <v>1250</v>
      </c>
      <c r="AS40" s="31">
        <f>2500-2000</f>
        <v>500</v>
      </c>
      <c r="AT40" s="31">
        <v>2500</v>
      </c>
      <c r="AU40" s="31">
        <v>2500</v>
      </c>
      <c r="AV40" s="31">
        <v>2500</v>
      </c>
      <c r="AW40" s="31">
        <v>2500</v>
      </c>
      <c r="AX40" s="31">
        <v>2500</v>
      </c>
      <c r="AY40" s="31">
        <v>2500</v>
      </c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9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12"/>
      <c r="BZ40" s="12">
        <f>400-45</f>
        <v>355</v>
      </c>
      <c r="CA40" s="12">
        <f>400-45</f>
        <v>355</v>
      </c>
      <c r="CB40" s="12">
        <v>400</v>
      </c>
      <c r="CC40" s="12">
        <f>400-60</f>
        <v>340</v>
      </c>
      <c r="CD40" s="12">
        <v>400</v>
      </c>
      <c r="CE40" s="12"/>
      <c r="CF40" s="12">
        <v>400</v>
      </c>
      <c r="CG40" s="12">
        <v>400</v>
      </c>
      <c r="CH40" s="12">
        <v>400</v>
      </c>
      <c r="CI40" s="12">
        <v>400</v>
      </c>
      <c r="CJ40" s="12">
        <v>400</v>
      </c>
      <c r="CK40" s="31">
        <f>400-400</f>
        <v>0</v>
      </c>
      <c r="CL40" s="31">
        <v>400</v>
      </c>
      <c r="CM40" s="31">
        <v>400</v>
      </c>
      <c r="CN40" s="31">
        <f>400-150</f>
        <v>250</v>
      </c>
      <c r="CO40" s="31">
        <f>400-75</f>
        <v>325</v>
      </c>
      <c r="CP40" s="31">
        <f>400-195</f>
        <v>205</v>
      </c>
      <c r="CQ40" s="31">
        <f>400-400</f>
        <v>0</v>
      </c>
      <c r="CR40" s="31">
        <v>400</v>
      </c>
      <c r="CS40" s="31">
        <v>400</v>
      </c>
      <c r="CT40" s="31">
        <v>400</v>
      </c>
      <c r="CU40" s="31">
        <v>400</v>
      </c>
      <c r="CV40" s="31">
        <v>400</v>
      </c>
      <c r="CW40" s="31">
        <v>400</v>
      </c>
      <c r="CX40" s="180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12"/>
      <c r="DL40" s="12">
        <v>200</v>
      </c>
      <c r="DM40" s="12">
        <v>200</v>
      </c>
      <c r="DN40" s="12">
        <v>200</v>
      </c>
      <c r="DO40" s="12">
        <v>200</v>
      </c>
      <c r="DP40" s="12">
        <v>200</v>
      </c>
      <c r="DQ40" s="12">
        <f>200-200</f>
        <v>0</v>
      </c>
      <c r="DR40" s="12">
        <v>400</v>
      </c>
      <c r="DS40" s="12">
        <v>400</v>
      </c>
      <c r="DT40" s="12">
        <v>400</v>
      </c>
      <c r="DU40" s="12">
        <v>400</v>
      </c>
      <c r="DV40" s="12">
        <v>400</v>
      </c>
      <c r="DW40" s="12">
        <v>400</v>
      </c>
      <c r="DX40" s="12">
        <v>400</v>
      </c>
      <c r="DY40" s="12">
        <v>400</v>
      </c>
      <c r="DZ40" s="12">
        <v>400</v>
      </c>
      <c r="EA40" s="12">
        <v>400</v>
      </c>
      <c r="EB40" s="12">
        <v>400</v>
      </c>
      <c r="EC40" s="12">
        <v>400</v>
      </c>
      <c r="ED40" s="31"/>
      <c r="EE40" s="12"/>
      <c r="EF40" s="12"/>
      <c r="EG40" s="12"/>
      <c r="EH40" s="12"/>
      <c r="EI40" s="12"/>
      <c r="EJ40" s="28"/>
    </row>
    <row r="41" spans="1:140" s="28" customFormat="1" ht="18" customHeight="1">
      <c r="A41" s="59">
        <v>39</v>
      </c>
      <c r="B41" s="59" t="s">
        <v>1069</v>
      </c>
      <c r="C41" s="51" t="s">
        <v>1186</v>
      </c>
      <c r="D41" s="50">
        <f>1200+300+300+600+600</f>
        <v>3000</v>
      </c>
      <c r="E41" s="52" t="s">
        <v>1187</v>
      </c>
      <c r="F41" s="52" t="s">
        <v>1084</v>
      </c>
      <c r="G41" s="139">
        <f>2500*6+2500*6-1250-2000-2000-1250+2500*6-1250-2000-1250+2500*6-1250-2000</f>
        <v>45750</v>
      </c>
      <c r="H41" s="52" t="s">
        <v>1181</v>
      </c>
      <c r="I41" s="89">
        <f>400+400+400+400-45+400-75+400-180-400+400+400*3-165+400-75-105+400*3+400-45-210+400*6-195</f>
        <v>6905</v>
      </c>
      <c r="J41" s="52" t="s">
        <v>1188</v>
      </c>
      <c r="K41" s="8">
        <f>200*4-200-200</f>
        <v>400</v>
      </c>
      <c r="L41" s="29">
        <f t="shared" si="0"/>
        <v>56055</v>
      </c>
      <c r="M41" s="29">
        <f>SUM(O41:DX41)</f>
        <v>53055</v>
      </c>
      <c r="N41" s="29">
        <f>L41-M41</f>
        <v>3000</v>
      </c>
      <c r="AA41" s="31"/>
      <c r="AB41" s="31">
        <v>2500</v>
      </c>
      <c r="AC41" s="31">
        <v>2500</v>
      </c>
      <c r="AD41" s="31">
        <v>2500</v>
      </c>
      <c r="AE41" s="31">
        <f>2500/2</f>
        <v>1250</v>
      </c>
      <c r="AF41" s="31">
        <f>2500-2000</f>
        <v>500</v>
      </c>
      <c r="AG41" s="31">
        <f>2500-2000</f>
        <v>500</v>
      </c>
      <c r="AH41" s="31">
        <f>2500/2</f>
        <v>1250</v>
      </c>
      <c r="AI41" s="31">
        <v>2500</v>
      </c>
      <c r="AJ41" s="31">
        <v>2500</v>
      </c>
      <c r="AK41" s="31">
        <f>2500/2</f>
        <v>1250</v>
      </c>
      <c r="AL41" s="31">
        <v>2500</v>
      </c>
      <c r="AM41" s="31">
        <f>2500-2000</f>
        <v>500</v>
      </c>
      <c r="AN41" s="31">
        <v>2500</v>
      </c>
      <c r="AO41" s="31">
        <v>2500</v>
      </c>
      <c r="AP41" s="31">
        <f>2500/2</f>
        <v>1250</v>
      </c>
      <c r="AQ41" s="31">
        <v>2500</v>
      </c>
      <c r="AR41" s="31">
        <f>2500/2</f>
        <v>1250</v>
      </c>
      <c r="AS41" s="31">
        <f>2500-2000</f>
        <v>500</v>
      </c>
      <c r="AT41" s="31">
        <v>2500</v>
      </c>
      <c r="AU41" s="31">
        <v>2500</v>
      </c>
      <c r="AV41" s="31">
        <v>2500</v>
      </c>
      <c r="AW41" s="31">
        <v>2500</v>
      </c>
      <c r="AX41" s="31">
        <v>2500</v>
      </c>
      <c r="AY41" s="31">
        <v>2500</v>
      </c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40"/>
      <c r="BY41" s="12"/>
      <c r="BZ41" s="12">
        <v>400</v>
      </c>
      <c r="CA41" s="12">
        <f>400-45</f>
        <v>355</v>
      </c>
      <c r="CB41" s="12">
        <f>400-75</f>
        <v>325</v>
      </c>
      <c r="CC41" s="12">
        <f>400-180</f>
        <v>220</v>
      </c>
      <c r="CD41" s="12">
        <f>400-400</f>
        <v>0</v>
      </c>
      <c r="CE41" s="12"/>
      <c r="CF41" s="12">
        <f>400-165</f>
        <v>235</v>
      </c>
      <c r="CG41" s="12">
        <f>400-75</f>
        <v>325</v>
      </c>
      <c r="CH41" s="12">
        <v>400</v>
      </c>
      <c r="CI41" s="12">
        <f>400-105</f>
        <v>295</v>
      </c>
      <c r="CJ41" s="12">
        <v>400</v>
      </c>
      <c r="CK41" s="31"/>
      <c r="CL41" s="31">
        <v>400</v>
      </c>
      <c r="CM41" s="31">
        <f>400-45</f>
        <v>355</v>
      </c>
      <c r="CN41" s="31">
        <f>400-210</f>
        <v>190</v>
      </c>
      <c r="CO41" s="12">
        <v>400</v>
      </c>
      <c r="CP41" s="12">
        <f>400-195</f>
        <v>205</v>
      </c>
      <c r="CQ41" s="12"/>
      <c r="CR41" s="31">
        <v>400</v>
      </c>
      <c r="CS41" s="31">
        <v>400</v>
      </c>
      <c r="CT41" s="31">
        <v>400</v>
      </c>
      <c r="CU41" s="31">
        <v>400</v>
      </c>
      <c r="CV41" s="31">
        <v>400</v>
      </c>
      <c r="CW41" s="31">
        <v>400</v>
      </c>
      <c r="CX41" s="40"/>
      <c r="DK41" s="12"/>
      <c r="DL41" s="12"/>
      <c r="DM41" s="12"/>
      <c r="DN41" s="12">
        <v>200</v>
      </c>
      <c r="DO41" s="12">
        <v>200</v>
      </c>
      <c r="DP41" s="12">
        <f>200-200</f>
        <v>0</v>
      </c>
      <c r="DQ41" s="12">
        <f>200-200</f>
        <v>0</v>
      </c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31">
        <v>400</v>
      </c>
      <c r="EE41" s="12">
        <v>400</v>
      </c>
      <c r="EF41" s="12">
        <v>400</v>
      </c>
      <c r="EG41" s="12">
        <v>400</v>
      </c>
      <c r="EH41" s="12">
        <v>400</v>
      </c>
      <c r="EI41" s="12">
        <v>400</v>
      </c>
    </row>
    <row r="42" spans="1:140" ht="22.5" customHeight="1">
      <c r="A42" s="59">
        <v>40</v>
      </c>
      <c r="B42" s="59" t="s">
        <v>1069</v>
      </c>
      <c r="C42" s="54" t="s">
        <v>1189</v>
      </c>
      <c r="D42" s="50">
        <f t="shared" ref="D42:D47" si="5">1200+300+300+600+600</f>
        <v>3000</v>
      </c>
      <c r="E42" s="79" t="s">
        <v>1190</v>
      </c>
      <c r="F42" s="59" t="s">
        <v>1191</v>
      </c>
      <c r="G42" s="142">
        <f>3500*0.9*22-1575</f>
        <v>67725</v>
      </c>
      <c r="H42" s="52" t="s">
        <v>1191</v>
      </c>
      <c r="I42" s="89">
        <f>400+400+400+400-45+400+400-120+400-75+400+400+400+400-90+400+400+400+400+400*7-120</f>
        <v>8350</v>
      </c>
      <c r="J42" s="52"/>
      <c r="K42" s="8"/>
      <c r="L42" s="8">
        <f t="shared" si="0"/>
        <v>79075</v>
      </c>
      <c r="M42" s="29">
        <f>SUM(O42:DX42)</f>
        <v>76075</v>
      </c>
      <c r="N42" s="29">
        <f t="shared" ref="N42:N68" si="6">L42-M42</f>
        <v>3000</v>
      </c>
      <c r="O42" s="8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31"/>
      <c r="AB42" s="31"/>
      <c r="AC42" s="31"/>
      <c r="AD42" s="31">
        <v>3150</v>
      </c>
      <c r="AE42" s="31">
        <v>3150</v>
      </c>
      <c r="AF42" s="31">
        <v>3150</v>
      </c>
      <c r="AG42" s="31">
        <f>3150/2</f>
        <v>1575</v>
      </c>
      <c r="AH42" s="31">
        <v>3150</v>
      </c>
      <c r="AI42" s="31">
        <v>3150</v>
      </c>
      <c r="AJ42" s="31">
        <v>3150</v>
      </c>
      <c r="AK42" s="31">
        <v>3150</v>
      </c>
      <c r="AL42" s="31">
        <v>3150</v>
      </c>
      <c r="AM42" s="31">
        <v>3150</v>
      </c>
      <c r="AN42" s="31">
        <v>3150</v>
      </c>
      <c r="AO42" s="31">
        <v>3150</v>
      </c>
      <c r="AP42" s="31">
        <v>3150</v>
      </c>
      <c r="AQ42" s="31">
        <v>3150</v>
      </c>
      <c r="AR42" s="31">
        <v>3150</v>
      </c>
      <c r="AS42" s="31">
        <v>3150</v>
      </c>
      <c r="AT42" s="31">
        <v>3150</v>
      </c>
      <c r="AU42" s="31">
        <v>3150</v>
      </c>
      <c r="AV42" s="31">
        <v>3150</v>
      </c>
      <c r="AW42" s="31">
        <v>3150</v>
      </c>
      <c r="AX42" s="31">
        <v>3150</v>
      </c>
      <c r="AY42" s="31">
        <v>3150</v>
      </c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9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>
        <v>400</v>
      </c>
      <c r="CC42" s="12">
        <f>400-45</f>
        <v>355</v>
      </c>
      <c r="CD42" s="12">
        <v>400</v>
      </c>
      <c r="CE42" s="12">
        <f>400-120</f>
        <v>280</v>
      </c>
      <c r="CF42" s="12">
        <f>400-75</f>
        <v>325</v>
      </c>
      <c r="CG42" s="12">
        <v>400</v>
      </c>
      <c r="CH42" s="12">
        <v>400</v>
      </c>
      <c r="CI42" s="12">
        <v>400</v>
      </c>
      <c r="CJ42" s="12">
        <v>400</v>
      </c>
      <c r="CK42" s="31">
        <f>400-90</f>
        <v>310</v>
      </c>
      <c r="CL42" s="31">
        <v>400</v>
      </c>
      <c r="CM42" s="31">
        <v>400</v>
      </c>
      <c r="CN42" s="31">
        <v>400</v>
      </c>
      <c r="CO42" s="31">
        <v>400</v>
      </c>
      <c r="CP42" s="31">
        <v>400</v>
      </c>
      <c r="CQ42" s="31">
        <v>400</v>
      </c>
      <c r="CR42" s="31">
        <f>400-120</f>
        <v>280</v>
      </c>
      <c r="CS42" s="31">
        <v>400</v>
      </c>
      <c r="CT42" s="31">
        <v>400</v>
      </c>
      <c r="CU42" s="31">
        <v>400</v>
      </c>
      <c r="CV42" s="31">
        <v>400</v>
      </c>
      <c r="CW42" s="31">
        <v>400</v>
      </c>
      <c r="CX42" s="180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31"/>
      <c r="EE42" s="12"/>
      <c r="EF42" s="12"/>
      <c r="EG42" s="12"/>
      <c r="EH42" s="12"/>
      <c r="EI42" s="12"/>
      <c r="EJ42" s="23"/>
    </row>
    <row r="43" spans="1:140" ht="22.5" customHeight="1">
      <c r="A43" s="59">
        <v>41</v>
      </c>
      <c r="B43" s="59" t="s">
        <v>1069</v>
      </c>
      <c r="C43" s="54" t="s">
        <v>1192</v>
      </c>
      <c r="D43" s="50">
        <f t="shared" si="5"/>
        <v>3000</v>
      </c>
      <c r="E43" s="79" t="s">
        <v>1193</v>
      </c>
      <c r="F43" s="59" t="s">
        <v>1194</v>
      </c>
      <c r="G43" s="142">
        <f>2500*11-2000+5*1000+3500*6-3000-3000-1750+3500*6-3000</f>
        <v>61750</v>
      </c>
      <c r="H43" s="52" t="s">
        <v>1195</v>
      </c>
      <c r="I43" s="89">
        <f>400+400+400*2-80+400-60-90+400*5+400-45-45-45+220+400*3-120-400+400*6-45-75-400</f>
        <v>6815</v>
      </c>
      <c r="J43" s="52"/>
      <c r="K43" s="8"/>
      <c r="L43" s="8">
        <f t="shared" si="0"/>
        <v>71565</v>
      </c>
      <c r="M43" s="29">
        <f>SUM(O43:DX43)</f>
        <v>68565</v>
      </c>
      <c r="N43" s="29">
        <f>L43-M43</f>
        <v>3000</v>
      </c>
      <c r="O43" s="8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31"/>
      <c r="AB43" s="31"/>
      <c r="AC43" s="31">
        <v>2500</v>
      </c>
      <c r="AD43" s="31">
        <v>2500</v>
      </c>
      <c r="AE43" s="31">
        <v>2500</v>
      </c>
      <c r="AF43" s="31">
        <v>2500</v>
      </c>
      <c r="AG43" s="31">
        <f>2500-2000</f>
        <v>500</v>
      </c>
      <c r="AH43" s="31">
        <v>2500</v>
      </c>
      <c r="AI43" s="31">
        <f>2500+1000</f>
        <v>3500</v>
      </c>
      <c r="AJ43" s="31">
        <f>2500+1000</f>
        <v>3500</v>
      </c>
      <c r="AK43" s="31">
        <f>2500+1000</f>
        <v>3500</v>
      </c>
      <c r="AL43" s="31">
        <f>2500+1000</f>
        <v>3500</v>
      </c>
      <c r="AM43" s="31">
        <f>2500+1000-3000</f>
        <v>500</v>
      </c>
      <c r="AN43" s="31">
        <f>2500+1000</f>
        <v>3500</v>
      </c>
      <c r="AO43" s="31">
        <f>2500+1000-3000</f>
        <v>500</v>
      </c>
      <c r="AP43" s="31">
        <f>2500+1000-1750</f>
        <v>1750</v>
      </c>
      <c r="AQ43" s="31">
        <f>2500+1000</f>
        <v>3500</v>
      </c>
      <c r="AR43" s="31">
        <f>2500+1000</f>
        <v>3500</v>
      </c>
      <c r="AS43" s="31">
        <f>2500+1000-3000</f>
        <v>500</v>
      </c>
      <c r="AT43" s="31">
        <f t="shared" ref="AT43:AY43" si="7">2500+1000</f>
        <v>3500</v>
      </c>
      <c r="AU43" s="31">
        <f t="shared" si="7"/>
        <v>3500</v>
      </c>
      <c r="AV43" s="31">
        <f t="shared" si="7"/>
        <v>3500</v>
      </c>
      <c r="AW43" s="31">
        <f t="shared" si="7"/>
        <v>3500</v>
      </c>
      <c r="AX43" s="31">
        <f t="shared" si="7"/>
        <v>3500</v>
      </c>
      <c r="AY43" s="31">
        <f t="shared" si="7"/>
        <v>3500</v>
      </c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9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>
        <f>400-80</f>
        <v>320</v>
      </c>
      <c r="CB43" s="12">
        <v>400</v>
      </c>
      <c r="CC43" s="12">
        <f>400-60</f>
        <v>340</v>
      </c>
      <c r="CD43" s="12">
        <f>400-90</f>
        <v>310</v>
      </c>
      <c r="CE43" s="12"/>
      <c r="CF43" s="12">
        <v>400</v>
      </c>
      <c r="CG43" s="12">
        <f>400-45</f>
        <v>355</v>
      </c>
      <c r="CH43" s="12">
        <v>400</v>
      </c>
      <c r="CI43" s="12">
        <f>400-45</f>
        <v>355</v>
      </c>
      <c r="CJ43" s="12">
        <f>400-45</f>
        <v>355</v>
      </c>
      <c r="CK43" s="31">
        <f>400-400</f>
        <v>0</v>
      </c>
      <c r="CL43" s="31">
        <f>400-120</f>
        <v>280</v>
      </c>
      <c r="CN43" s="31">
        <f>400-180</f>
        <v>220</v>
      </c>
      <c r="CO43" s="31">
        <f>400-45</f>
        <v>355</v>
      </c>
      <c r="CP43" s="31">
        <f>400-75</f>
        <v>325</v>
      </c>
      <c r="CQ43" s="31">
        <f>400-400</f>
        <v>0</v>
      </c>
      <c r="CR43" s="31">
        <v>400</v>
      </c>
      <c r="CS43" s="31">
        <v>400</v>
      </c>
      <c r="CT43" s="31">
        <v>400</v>
      </c>
      <c r="CU43" s="31">
        <v>400</v>
      </c>
      <c r="CV43" s="31">
        <v>400</v>
      </c>
      <c r="CW43" s="31">
        <v>400</v>
      </c>
      <c r="CX43" s="180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31"/>
      <c r="EE43" s="12"/>
      <c r="EF43" s="12"/>
      <c r="EG43" s="12"/>
      <c r="EH43" s="12"/>
      <c r="EI43" s="12"/>
      <c r="EJ43" s="23"/>
    </row>
    <row r="44" spans="1:140" ht="22.5" customHeight="1">
      <c r="A44" s="59">
        <v>42</v>
      </c>
      <c r="B44" s="59" t="s">
        <v>1069</v>
      </c>
      <c r="C44" s="54" t="s">
        <v>1196</v>
      </c>
      <c r="D44" s="50">
        <f t="shared" si="5"/>
        <v>3000</v>
      </c>
      <c r="E44" s="79" t="s">
        <v>1197</v>
      </c>
      <c r="F44" s="59" t="s">
        <v>1084</v>
      </c>
      <c r="G44" s="142">
        <f>3500*6+3500*6-90-105-3000+3500*6-1750+3500*6</f>
        <v>79055</v>
      </c>
      <c r="H44" s="52" t="s">
        <v>1084</v>
      </c>
      <c r="I44" s="89">
        <f>400*6+400*2-75-90+400*4-400-120+400*6-150-120+400*6-45-60-75</f>
        <v>8465</v>
      </c>
      <c r="J44" s="52"/>
      <c r="K44" s="8">
        <f>200*6-200*6</f>
        <v>0</v>
      </c>
      <c r="L44" s="8">
        <f t="shared" si="0"/>
        <v>90520</v>
      </c>
      <c r="M44" s="29">
        <f>SUM(O44:DX44)</f>
        <v>87520</v>
      </c>
      <c r="N44" s="29">
        <f t="shared" si="6"/>
        <v>3000</v>
      </c>
      <c r="O44" s="8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31"/>
      <c r="AB44" s="31">
        <v>3500</v>
      </c>
      <c r="AC44" s="31">
        <v>3500</v>
      </c>
      <c r="AD44" s="31">
        <v>3500</v>
      </c>
      <c r="AE44" s="31">
        <v>3500</v>
      </c>
      <c r="AF44" s="31">
        <v>3500</v>
      </c>
      <c r="AG44" s="31">
        <v>3500</v>
      </c>
      <c r="AH44" s="31">
        <v>3500</v>
      </c>
      <c r="AI44" s="31">
        <f>3500-3000</f>
        <v>500</v>
      </c>
      <c r="AJ44" s="31">
        <v>3500</v>
      </c>
      <c r="AK44" s="31">
        <f>3500/2</f>
        <v>1750</v>
      </c>
      <c r="AL44" s="31">
        <v>3500</v>
      </c>
      <c r="AM44" s="31">
        <v>3500</v>
      </c>
      <c r="AN44" s="31">
        <v>3500</v>
      </c>
      <c r="AO44" s="31">
        <v>3500</v>
      </c>
      <c r="AP44" s="31">
        <v>3500</v>
      </c>
      <c r="AQ44" s="31">
        <v>3500</v>
      </c>
      <c r="AR44" s="31">
        <v>3500</v>
      </c>
      <c r="AS44" s="31">
        <v>3500</v>
      </c>
      <c r="AT44" s="31">
        <v>3500</v>
      </c>
      <c r="AU44" s="31">
        <v>3500</v>
      </c>
      <c r="AV44" s="31">
        <v>3500</v>
      </c>
      <c r="AW44" s="31">
        <v>3500</v>
      </c>
      <c r="AX44" s="31">
        <v>3500</v>
      </c>
      <c r="AY44" s="31">
        <v>3500</v>
      </c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9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>
        <v>400</v>
      </c>
      <c r="CA44" s="12">
        <f>400-90</f>
        <v>310</v>
      </c>
      <c r="CB44" s="12">
        <v>400</v>
      </c>
      <c r="CC44" s="12">
        <f>400-105</f>
        <v>295</v>
      </c>
      <c r="CD44" s="12">
        <f>400-75</f>
        <v>325</v>
      </c>
      <c r="CE44" s="12">
        <f>400-90</f>
        <v>310</v>
      </c>
      <c r="CF44" s="12">
        <f>400-120</f>
        <v>280</v>
      </c>
      <c r="CG44" s="12">
        <f>400-400</f>
        <v>0</v>
      </c>
      <c r="CH44" s="12">
        <v>400</v>
      </c>
      <c r="CI44" s="12">
        <f>400-150</f>
        <v>250</v>
      </c>
      <c r="CJ44" s="12">
        <f>400-120</f>
        <v>280</v>
      </c>
      <c r="CK44" s="31">
        <f>400-45</f>
        <v>355</v>
      </c>
      <c r="CL44" s="31">
        <v>400</v>
      </c>
      <c r="CM44" s="31">
        <f>400-60</f>
        <v>340</v>
      </c>
      <c r="CN44" s="31">
        <v>400</v>
      </c>
      <c r="CO44" s="12">
        <f>400-75</f>
        <v>325</v>
      </c>
      <c r="CP44" s="12">
        <v>400</v>
      </c>
      <c r="CQ44" s="12">
        <v>400</v>
      </c>
      <c r="CR44" s="12">
        <v>400</v>
      </c>
      <c r="CS44" s="12">
        <v>400</v>
      </c>
      <c r="CT44" s="12">
        <v>400</v>
      </c>
      <c r="CU44" s="12">
        <v>400</v>
      </c>
      <c r="CV44" s="12">
        <v>400</v>
      </c>
      <c r="CW44" s="12">
        <v>400</v>
      </c>
      <c r="CX44" s="180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>
        <f t="shared" ref="DL44:DQ44" si="8">200-200</f>
        <v>0</v>
      </c>
      <c r="DM44" s="12">
        <f t="shared" si="8"/>
        <v>0</v>
      </c>
      <c r="DN44" s="12">
        <f t="shared" si="8"/>
        <v>0</v>
      </c>
      <c r="DO44" s="12">
        <f t="shared" si="8"/>
        <v>0</v>
      </c>
      <c r="DP44" s="12">
        <f t="shared" si="8"/>
        <v>0</v>
      </c>
      <c r="DQ44" s="12">
        <f t="shared" si="8"/>
        <v>0</v>
      </c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31"/>
      <c r="EE44" s="12"/>
      <c r="EF44" s="12"/>
      <c r="EG44" s="12"/>
      <c r="EH44" s="12"/>
      <c r="EI44" s="12"/>
      <c r="EJ44" s="23"/>
    </row>
    <row r="45" spans="1:140" ht="22.5" customHeight="1">
      <c r="A45" s="59">
        <v>43</v>
      </c>
      <c r="B45" s="59" t="s">
        <v>1069</v>
      </c>
      <c r="C45" s="54" t="s">
        <v>1198</v>
      </c>
      <c r="D45" s="50">
        <f t="shared" si="5"/>
        <v>3000</v>
      </c>
      <c r="E45" s="79" t="s">
        <v>1199</v>
      </c>
      <c r="F45" s="59" t="s">
        <v>1084</v>
      </c>
      <c r="G45" s="142">
        <f>2500*6+2500*6-2000-2000-2000+2500*6+2500*6</f>
        <v>54000</v>
      </c>
      <c r="H45" s="52" t="s">
        <v>1084</v>
      </c>
      <c r="I45" s="89">
        <f>400+400+400*4-1250-180+400-400-400+400*5-400+400*6+400*6-60-45</f>
        <v>6865</v>
      </c>
      <c r="J45" s="52" t="s">
        <v>1084</v>
      </c>
      <c r="K45" s="8">
        <f>200*6+400*6-200-200-200+400*6+400*6</f>
        <v>7800</v>
      </c>
      <c r="L45" s="8">
        <f t="shared" si="0"/>
        <v>71665</v>
      </c>
      <c r="M45" s="29">
        <f>SUM(O45:EI45)</f>
        <v>68665</v>
      </c>
      <c r="N45" s="29">
        <f t="shared" si="6"/>
        <v>3000</v>
      </c>
      <c r="O45" s="8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31"/>
      <c r="AB45" s="31">
        <f>2500/2</f>
        <v>1250</v>
      </c>
      <c r="AC45" s="31">
        <v>2500</v>
      </c>
      <c r="AD45" s="31">
        <v>2500</v>
      </c>
      <c r="AE45" s="31">
        <f>2500-2000</f>
        <v>500</v>
      </c>
      <c r="AF45" s="31">
        <f>2500-2000</f>
        <v>500</v>
      </c>
      <c r="AG45" s="31">
        <f>2500-2000</f>
        <v>500</v>
      </c>
      <c r="AH45" s="31">
        <v>2500</v>
      </c>
      <c r="AI45" s="31">
        <v>2500</v>
      </c>
      <c r="AJ45" s="31">
        <v>2500</v>
      </c>
      <c r="AK45" s="31">
        <v>2500</v>
      </c>
      <c r="AL45" s="31">
        <v>2500</v>
      </c>
      <c r="AM45" s="31">
        <v>2500</v>
      </c>
      <c r="AN45" s="31">
        <v>2500</v>
      </c>
      <c r="AO45" s="31">
        <v>2500</v>
      </c>
      <c r="AP45" s="31">
        <v>2500</v>
      </c>
      <c r="AQ45" s="31">
        <v>2500</v>
      </c>
      <c r="AR45" s="31">
        <v>2500</v>
      </c>
      <c r="AS45" s="31">
        <v>2500</v>
      </c>
      <c r="AT45" s="31">
        <v>2500</v>
      </c>
      <c r="AU45" s="31">
        <v>2500</v>
      </c>
      <c r="AV45" s="31">
        <v>2500</v>
      </c>
      <c r="AW45" s="31">
        <v>2500</v>
      </c>
      <c r="AX45" s="31">
        <v>2500</v>
      </c>
      <c r="AY45" s="31">
        <v>2500</v>
      </c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9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>
        <f>400-180</f>
        <v>220</v>
      </c>
      <c r="CA45" s="12">
        <v>400</v>
      </c>
      <c r="CB45" s="12">
        <v>400</v>
      </c>
      <c r="CC45" s="12">
        <f>400-400</f>
        <v>0</v>
      </c>
      <c r="CD45" s="12">
        <f>400-400</f>
        <v>0</v>
      </c>
      <c r="CE45" s="12">
        <f>400-400</f>
        <v>0</v>
      </c>
      <c r="CF45" s="12">
        <v>400</v>
      </c>
      <c r="CG45" s="12">
        <v>400</v>
      </c>
      <c r="CH45" s="12">
        <v>400</v>
      </c>
      <c r="CI45" s="12">
        <v>400</v>
      </c>
      <c r="CJ45" s="12">
        <f>400-60</f>
        <v>340</v>
      </c>
      <c r="CK45" s="31">
        <v>400</v>
      </c>
      <c r="CL45" s="31">
        <v>400</v>
      </c>
      <c r="CM45" s="31">
        <v>400</v>
      </c>
      <c r="CN45" s="31">
        <f>400-45</f>
        <v>355</v>
      </c>
      <c r="CO45" s="12">
        <v>400</v>
      </c>
      <c r="CP45" s="12">
        <v>400</v>
      </c>
      <c r="CQ45" s="12">
        <v>400</v>
      </c>
      <c r="CR45" s="12">
        <v>400</v>
      </c>
      <c r="CS45" s="12">
        <v>400</v>
      </c>
      <c r="CT45" s="12">
        <v>400</v>
      </c>
      <c r="CU45" s="12">
        <v>400</v>
      </c>
      <c r="CV45" s="12">
        <v>400</v>
      </c>
      <c r="CW45" s="12">
        <v>400</v>
      </c>
      <c r="CX45" s="180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>
        <v>200</v>
      </c>
      <c r="DM45" s="12">
        <v>200</v>
      </c>
      <c r="DN45" s="12">
        <v>200</v>
      </c>
      <c r="DO45" s="12">
        <f>200-200</f>
        <v>0</v>
      </c>
      <c r="DP45" s="12">
        <f>200-200</f>
        <v>0</v>
      </c>
      <c r="DQ45" s="12">
        <f>200-200</f>
        <v>0</v>
      </c>
      <c r="DR45" s="12">
        <v>400</v>
      </c>
      <c r="DS45" s="12">
        <v>400</v>
      </c>
      <c r="DT45" s="12">
        <v>400</v>
      </c>
      <c r="DU45" s="12">
        <v>400</v>
      </c>
      <c r="DV45" s="12">
        <v>400</v>
      </c>
      <c r="DW45" s="12">
        <v>400</v>
      </c>
      <c r="DX45" s="12">
        <v>400</v>
      </c>
      <c r="DY45" s="12">
        <v>400</v>
      </c>
      <c r="DZ45" s="12">
        <v>400</v>
      </c>
      <c r="EA45" s="12">
        <v>400</v>
      </c>
      <c r="EB45" s="12">
        <v>400</v>
      </c>
      <c r="EC45" s="12">
        <v>400</v>
      </c>
      <c r="ED45" s="31">
        <v>400</v>
      </c>
      <c r="EE45" s="12">
        <v>400</v>
      </c>
      <c r="EF45" s="12">
        <v>400</v>
      </c>
      <c r="EG45" s="12">
        <v>400</v>
      </c>
      <c r="EH45" s="12">
        <v>400</v>
      </c>
      <c r="EI45" s="12">
        <v>400</v>
      </c>
      <c r="EJ45" s="12"/>
    </row>
    <row r="46" spans="1:140" ht="22.5" customHeight="1">
      <c r="A46" s="59">
        <v>44</v>
      </c>
      <c r="B46" s="59" t="s">
        <v>1069</v>
      </c>
      <c r="C46" s="54" t="s">
        <v>1200</v>
      </c>
      <c r="D46" s="50">
        <f t="shared" si="5"/>
        <v>3000</v>
      </c>
      <c r="E46" s="79" t="s">
        <v>1201</v>
      </c>
      <c r="F46" s="59" t="s">
        <v>1202</v>
      </c>
      <c r="G46" s="142">
        <f>3500*6*0.8+3500*6*0.8-1400-2300-2300+3500*6*0.8-1400+3500*6*0.8-2300</f>
        <v>57500</v>
      </c>
      <c r="H46" s="52" t="s">
        <v>1084</v>
      </c>
      <c r="I46" s="89">
        <f>400*6+400*6-90-120-240-400-400+400*6-120-180+400*6-135-60-45-150-105-105-400</f>
        <v>7050</v>
      </c>
      <c r="J46" s="52" t="s">
        <v>1130</v>
      </c>
      <c r="K46" s="8">
        <f>200*6-200-200</f>
        <v>800</v>
      </c>
      <c r="L46" s="8">
        <f t="shared" si="0"/>
        <v>68350</v>
      </c>
      <c r="M46" s="29">
        <f>SUM(O46:DX46)</f>
        <v>65350</v>
      </c>
      <c r="N46" s="29">
        <f t="shared" si="6"/>
        <v>3000</v>
      </c>
      <c r="O46" s="8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31"/>
      <c r="AB46" s="31">
        <v>2800</v>
      </c>
      <c r="AC46" s="31">
        <v>2800</v>
      </c>
      <c r="AD46" s="31">
        <v>2800</v>
      </c>
      <c r="AE46" s="31">
        <f>2800/2</f>
        <v>1400</v>
      </c>
      <c r="AF46" s="31">
        <f>2800-2300</f>
        <v>500</v>
      </c>
      <c r="AG46" s="31">
        <f>2800-2300</f>
        <v>500</v>
      </c>
      <c r="AH46" s="31">
        <v>2800</v>
      </c>
      <c r="AI46" s="31">
        <v>2800</v>
      </c>
      <c r="AJ46" s="31">
        <v>2800</v>
      </c>
      <c r="AK46" s="31">
        <f>2800/2</f>
        <v>1400</v>
      </c>
      <c r="AL46" s="31">
        <v>2800</v>
      </c>
      <c r="AM46" s="31">
        <v>2800</v>
      </c>
      <c r="AN46" s="31">
        <v>2800</v>
      </c>
      <c r="AO46" s="31">
        <v>2800</v>
      </c>
      <c r="AP46" s="31">
        <v>2800</v>
      </c>
      <c r="AQ46" s="31">
        <v>2800</v>
      </c>
      <c r="AR46" s="31">
        <v>2800</v>
      </c>
      <c r="AS46" s="31">
        <f>2800-2300</f>
        <v>500</v>
      </c>
      <c r="AT46" s="31">
        <v>2800</v>
      </c>
      <c r="AU46" s="31">
        <v>2800</v>
      </c>
      <c r="AV46" s="31">
        <v>2800</v>
      </c>
      <c r="AW46" s="31">
        <v>2800</v>
      </c>
      <c r="AX46" s="31">
        <v>2800</v>
      </c>
      <c r="AY46" s="31">
        <v>2800</v>
      </c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9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>
        <f>400-90</f>
        <v>310</v>
      </c>
      <c r="CA46" s="12">
        <v>400</v>
      </c>
      <c r="CB46" s="12">
        <f>400-120</f>
        <v>280</v>
      </c>
      <c r="CC46" s="12">
        <f>400-240</f>
        <v>160</v>
      </c>
      <c r="CD46" s="12">
        <f>400-400</f>
        <v>0</v>
      </c>
      <c r="CE46" s="12">
        <f>400-400</f>
        <v>0</v>
      </c>
      <c r="CF46" s="12">
        <f>400-120</f>
        <v>280</v>
      </c>
      <c r="CG46" s="12">
        <v>400</v>
      </c>
      <c r="CH46" s="12">
        <v>400</v>
      </c>
      <c r="CI46" s="12">
        <f>400-180</f>
        <v>220</v>
      </c>
      <c r="CJ46" s="12">
        <v>400</v>
      </c>
      <c r="CK46" s="31">
        <f>400-135</f>
        <v>265</v>
      </c>
      <c r="CL46" s="31">
        <f>400-60</f>
        <v>340</v>
      </c>
      <c r="CM46" s="31">
        <f>400-45</f>
        <v>355</v>
      </c>
      <c r="CN46" s="31">
        <f>400-150</f>
        <v>250</v>
      </c>
      <c r="CO46" s="12">
        <f>400-105</f>
        <v>295</v>
      </c>
      <c r="CP46" s="12">
        <f>400-105</f>
        <v>295</v>
      </c>
      <c r="CQ46" s="12">
        <f>400-400</f>
        <v>0</v>
      </c>
      <c r="CR46" s="12">
        <v>400</v>
      </c>
      <c r="CS46" s="12">
        <v>400</v>
      </c>
      <c r="CT46" s="12">
        <v>400</v>
      </c>
      <c r="CU46" s="12">
        <v>400</v>
      </c>
      <c r="CV46" s="12">
        <v>400</v>
      </c>
      <c r="CW46" s="12">
        <v>400</v>
      </c>
      <c r="CX46" s="180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>
        <v>200</v>
      </c>
      <c r="DM46" s="12">
        <v>200</v>
      </c>
      <c r="DN46" s="12">
        <v>200</v>
      </c>
      <c r="DO46" s="12">
        <v>200</v>
      </c>
      <c r="DP46" s="12">
        <f>200-200</f>
        <v>0</v>
      </c>
      <c r="DQ46" s="12">
        <f>200-200</f>
        <v>0</v>
      </c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31"/>
      <c r="EE46" s="12"/>
      <c r="EF46" s="12"/>
      <c r="EG46" s="12"/>
      <c r="EH46" s="12"/>
      <c r="EI46" s="12"/>
      <c r="EJ46" s="23"/>
    </row>
    <row r="47" spans="1:140" ht="22.5" customHeight="1">
      <c r="A47" s="59">
        <v>45</v>
      </c>
      <c r="B47" s="59" t="s">
        <v>1069</v>
      </c>
      <c r="C47" s="51" t="s">
        <v>1203</v>
      </c>
      <c r="D47" s="50">
        <f t="shared" si="5"/>
        <v>3000</v>
      </c>
      <c r="E47" s="79" t="s">
        <v>1204</v>
      </c>
      <c r="F47" s="59" t="s">
        <v>1084</v>
      </c>
      <c r="G47" s="142">
        <f>2500*6*0.8+2000*6-1000-1000+2000*6-1500+2000*6-1000-1000</f>
        <v>42500</v>
      </c>
      <c r="H47" s="52" t="s">
        <v>1084</v>
      </c>
      <c r="I47" s="89">
        <f>400*6+400-220-45-45+400*3-150+400*2-45+400-45+400*5-400+400*6-180-60-300</f>
        <v>8110</v>
      </c>
      <c r="J47" s="52"/>
      <c r="K47" s="8"/>
      <c r="L47" s="8">
        <f t="shared" si="0"/>
        <v>53610</v>
      </c>
      <c r="M47" s="29">
        <f>SUM(O47:EI47)</f>
        <v>50610</v>
      </c>
      <c r="N47" s="29">
        <f t="shared" si="6"/>
        <v>3000</v>
      </c>
      <c r="O47" s="8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31"/>
      <c r="AB47" s="31">
        <f>2000-1000</f>
        <v>1000</v>
      </c>
      <c r="AC47" s="31">
        <v>2000</v>
      </c>
      <c r="AD47" s="31">
        <v>2000</v>
      </c>
      <c r="AE47" s="31">
        <v>2000</v>
      </c>
      <c r="AF47" s="31">
        <v>2000</v>
      </c>
      <c r="AG47" s="31">
        <f>2000-1000</f>
        <v>1000</v>
      </c>
      <c r="AH47" s="31">
        <v>2000</v>
      </c>
      <c r="AI47" s="31">
        <v>2000</v>
      </c>
      <c r="AJ47" s="31">
        <v>2000</v>
      </c>
      <c r="AK47" s="31">
        <v>2000</v>
      </c>
      <c r="AL47" s="31">
        <v>2000</v>
      </c>
      <c r="AM47" s="31">
        <f>2000-1500</f>
        <v>500</v>
      </c>
      <c r="AN47" s="31">
        <v>2000</v>
      </c>
      <c r="AO47" s="31">
        <v>2000</v>
      </c>
      <c r="AP47" s="31">
        <v>2000</v>
      </c>
      <c r="AQ47" s="31">
        <v>2000</v>
      </c>
      <c r="AR47" s="31">
        <f>2000/2</f>
        <v>1000</v>
      </c>
      <c r="AS47" s="31">
        <f>2000/2</f>
        <v>1000</v>
      </c>
      <c r="AT47" s="31">
        <v>2000</v>
      </c>
      <c r="AU47" s="31">
        <v>2000</v>
      </c>
      <c r="AV47" s="31">
        <v>2000</v>
      </c>
      <c r="AW47" s="31">
        <v>2000</v>
      </c>
      <c r="AX47" s="31">
        <v>2000</v>
      </c>
      <c r="AY47" s="31">
        <v>2000</v>
      </c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9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>
        <f>400-220</f>
        <v>180</v>
      </c>
      <c r="CA47" s="12">
        <v>400</v>
      </c>
      <c r="CB47" s="12">
        <v>400</v>
      </c>
      <c r="CC47" s="12">
        <f>400-45</f>
        <v>355</v>
      </c>
      <c r="CD47" s="12">
        <f>400-45</f>
        <v>355</v>
      </c>
      <c r="CE47" s="12">
        <f>400-150</f>
        <v>250</v>
      </c>
      <c r="CF47" s="12">
        <f>400-45</f>
        <v>355</v>
      </c>
      <c r="CG47" s="12">
        <v>400</v>
      </c>
      <c r="CH47" s="12">
        <v>400</v>
      </c>
      <c r="CI47" s="12">
        <v>400</v>
      </c>
      <c r="CJ47" s="12">
        <f>400-45</f>
        <v>355</v>
      </c>
      <c r="CK47" s="31">
        <f>400-400</f>
        <v>0</v>
      </c>
      <c r="CL47" s="31">
        <v>400</v>
      </c>
      <c r="CM47" s="31">
        <v>400</v>
      </c>
      <c r="CN47" s="31">
        <f>400-180</f>
        <v>220</v>
      </c>
      <c r="CO47" s="31">
        <f>400-60</f>
        <v>340</v>
      </c>
      <c r="CP47" s="31">
        <f>400-300</f>
        <v>100</v>
      </c>
      <c r="CQ47" s="31">
        <v>400</v>
      </c>
      <c r="CR47" s="31">
        <v>400</v>
      </c>
      <c r="CS47" s="31">
        <v>400</v>
      </c>
      <c r="CT47" s="31">
        <v>400</v>
      </c>
      <c r="CU47" s="31">
        <v>400</v>
      </c>
      <c r="CV47" s="31">
        <v>400</v>
      </c>
      <c r="CW47" s="31">
        <v>400</v>
      </c>
      <c r="CX47" s="180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31"/>
      <c r="EE47" s="12"/>
      <c r="EF47" s="12"/>
      <c r="EG47" s="12"/>
      <c r="EH47" s="12"/>
      <c r="EI47" s="12"/>
      <c r="EJ47" s="23"/>
    </row>
    <row r="48" spans="1:140" ht="22.5" customHeight="1">
      <c r="A48" s="59">
        <v>46</v>
      </c>
      <c r="B48" s="59" t="s">
        <v>1069</v>
      </c>
      <c r="C48" s="54" t="s">
        <v>1205</v>
      </c>
      <c r="D48" s="50"/>
      <c r="E48" s="79" t="s">
        <v>1206</v>
      </c>
      <c r="F48" s="59"/>
      <c r="G48" s="142"/>
      <c r="H48" s="52" t="s">
        <v>1207</v>
      </c>
      <c r="I48" s="89">
        <f>400*6+400*6-75-195+400*6</f>
        <v>6930</v>
      </c>
      <c r="J48" s="52"/>
      <c r="K48" s="8"/>
      <c r="L48" s="8">
        <f t="shared" si="0"/>
        <v>6930</v>
      </c>
      <c r="M48" s="29">
        <f t="shared" ref="M48:M53" si="9">SUM(O48:DX48)</f>
        <v>6930</v>
      </c>
      <c r="N48" s="29">
        <f t="shared" si="6"/>
        <v>0</v>
      </c>
      <c r="O48" s="8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9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>
        <v>400</v>
      </c>
      <c r="CG48" s="12">
        <f>400-75</f>
        <v>325</v>
      </c>
      <c r="CH48" s="12">
        <v>400</v>
      </c>
      <c r="CI48" s="12">
        <v>400</v>
      </c>
      <c r="CJ48" s="12">
        <f>400-195</f>
        <v>205</v>
      </c>
      <c r="CK48" s="31">
        <v>400</v>
      </c>
      <c r="CL48" s="31">
        <v>400</v>
      </c>
      <c r="CM48" s="31">
        <v>400</v>
      </c>
      <c r="CN48" s="31">
        <v>400</v>
      </c>
      <c r="CO48" s="12">
        <v>400</v>
      </c>
      <c r="CP48" s="12">
        <v>400</v>
      </c>
      <c r="CQ48" s="12">
        <v>400</v>
      </c>
      <c r="CR48" s="12">
        <v>400</v>
      </c>
      <c r="CS48" s="12">
        <v>400</v>
      </c>
      <c r="CT48" s="12">
        <v>400</v>
      </c>
      <c r="CU48" s="12">
        <v>400</v>
      </c>
      <c r="CV48" s="12">
        <v>400</v>
      </c>
      <c r="CW48" s="12">
        <v>400</v>
      </c>
      <c r="CX48" s="180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31"/>
      <c r="EE48" s="12"/>
      <c r="EF48" s="12"/>
      <c r="EG48" s="12"/>
      <c r="EH48" s="12"/>
      <c r="EI48" s="12"/>
      <c r="EJ48" s="23"/>
    </row>
    <row r="49" spans="1:140" ht="22.5" customHeight="1">
      <c r="A49" s="59">
        <v>47</v>
      </c>
      <c r="B49" s="59" t="s">
        <v>1069</v>
      </c>
      <c r="C49" s="54" t="s">
        <v>1208</v>
      </c>
      <c r="D49" s="50">
        <f>1200+300+300+600+600</f>
        <v>3000</v>
      </c>
      <c r="E49" s="79" t="s">
        <v>1209</v>
      </c>
      <c r="F49" s="59" t="s">
        <v>1191</v>
      </c>
      <c r="G49" s="142">
        <f>2500*10-2000+1000*5+3500*6+3500*6</f>
        <v>70000</v>
      </c>
      <c r="H49" s="52" t="s">
        <v>1191</v>
      </c>
      <c r="I49" s="89">
        <f>400+400*3+400*6-75-135-400+400*3-90-60+400*3+400*6-45-45</f>
        <v>7950</v>
      </c>
      <c r="J49" s="52"/>
      <c r="K49" s="8"/>
      <c r="L49" s="8">
        <f t="shared" si="0"/>
        <v>80950</v>
      </c>
      <c r="M49" s="29">
        <f t="shared" si="9"/>
        <v>77950</v>
      </c>
      <c r="N49" s="29">
        <f t="shared" si="6"/>
        <v>3000</v>
      </c>
      <c r="O49" s="8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31"/>
      <c r="AB49" s="31"/>
      <c r="AC49" s="31"/>
      <c r="AD49" s="31">
        <v>2500</v>
      </c>
      <c r="AE49" s="31">
        <v>2500</v>
      </c>
      <c r="AF49" s="31">
        <v>2500</v>
      </c>
      <c r="AG49" s="31">
        <f>2500-2000</f>
        <v>500</v>
      </c>
      <c r="AH49" s="31">
        <v>2500</v>
      </c>
      <c r="AI49" s="31">
        <f t="shared" ref="AI49:AY49" si="10">2500+1000</f>
        <v>3500</v>
      </c>
      <c r="AJ49" s="31">
        <f t="shared" si="10"/>
        <v>3500</v>
      </c>
      <c r="AK49" s="31">
        <f t="shared" si="10"/>
        <v>3500</v>
      </c>
      <c r="AL49" s="31">
        <f t="shared" si="10"/>
        <v>3500</v>
      </c>
      <c r="AM49" s="31">
        <f t="shared" si="10"/>
        <v>3500</v>
      </c>
      <c r="AN49" s="31">
        <f t="shared" si="10"/>
        <v>3500</v>
      </c>
      <c r="AO49" s="31">
        <f t="shared" si="10"/>
        <v>3500</v>
      </c>
      <c r="AP49" s="31">
        <f t="shared" si="10"/>
        <v>3500</v>
      </c>
      <c r="AQ49" s="31">
        <f t="shared" si="10"/>
        <v>3500</v>
      </c>
      <c r="AR49" s="31">
        <f t="shared" si="10"/>
        <v>3500</v>
      </c>
      <c r="AS49" s="31">
        <f t="shared" si="10"/>
        <v>3500</v>
      </c>
      <c r="AT49" s="31">
        <f t="shared" si="10"/>
        <v>3500</v>
      </c>
      <c r="AU49" s="31">
        <f t="shared" si="10"/>
        <v>3500</v>
      </c>
      <c r="AV49" s="31">
        <f t="shared" si="10"/>
        <v>3500</v>
      </c>
      <c r="AW49" s="31">
        <f t="shared" si="10"/>
        <v>3500</v>
      </c>
      <c r="AX49" s="31">
        <f t="shared" si="10"/>
        <v>3500</v>
      </c>
      <c r="AY49" s="31">
        <f t="shared" si="10"/>
        <v>3500</v>
      </c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9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>
        <f>400-75</f>
        <v>325</v>
      </c>
      <c r="CC49" s="12">
        <v>400</v>
      </c>
      <c r="CD49" s="12">
        <f>400-135</f>
        <v>265</v>
      </c>
      <c r="CE49" s="12">
        <f>400-400</f>
        <v>0</v>
      </c>
      <c r="CF49" s="12">
        <f>400-90</f>
        <v>310</v>
      </c>
      <c r="CG49" s="12">
        <v>400</v>
      </c>
      <c r="CH49" s="12">
        <v>400</v>
      </c>
      <c r="CI49" s="12">
        <v>400</v>
      </c>
      <c r="CJ49" s="12">
        <f>400-60</f>
        <v>340</v>
      </c>
      <c r="CK49" s="31">
        <v>400</v>
      </c>
      <c r="CL49" s="31">
        <v>400</v>
      </c>
      <c r="CM49" s="31">
        <v>400</v>
      </c>
      <c r="CN49" s="31">
        <v>400</v>
      </c>
      <c r="CO49" s="31">
        <f>400-45</f>
        <v>355</v>
      </c>
      <c r="CP49" s="31">
        <f>400-45</f>
        <v>355</v>
      </c>
      <c r="CQ49" s="31">
        <v>400</v>
      </c>
      <c r="CR49" s="31">
        <v>400</v>
      </c>
      <c r="CS49" s="31">
        <v>400</v>
      </c>
      <c r="CT49" s="31">
        <v>400</v>
      </c>
      <c r="CU49" s="31">
        <v>400</v>
      </c>
      <c r="CV49" s="31">
        <v>400</v>
      </c>
      <c r="CW49" s="31">
        <v>400</v>
      </c>
      <c r="CX49" s="180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31"/>
      <c r="EE49" s="12"/>
      <c r="EF49" s="12"/>
      <c r="EG49" s="12"/>
      <c r="EH49" s="12"/>
      <c r="EI49" s="12"/>
      <c r="EJ49" s="23"/>
    </row>
    <row r="50" spans="1:140" ht="22.5" customHeight="1">
      <c r="A50" s="59">
        <v>48</v>
      </c>
      <c r="B50" s="59" t="s">
        <v>1069</v>
      </c>
      <c r="C50" s="54" t="s">
        <v>1210</v>
      </c>
      <c r="D50" s="50">
        <f>1200+300+300+600+600</f>
        <v>3000</v>
      </c>
      <c r="E50" s="79" t="s">
        <v>1211</v>
      </c>
      <c r="F50" s="59" t="s">
        <v>1212</v>
      </c>
      <c r="G50" s="142">
        <f>3000+2500*9-2000-2000+2500*6+2500*6-1250</f>
        <v>50250</v>
      </c>
      <c r="H50" s="52" t="s">
        <v>1212</v>
      </c>
      <c r="I50" s="89">
        <f>20*16+400+400+400*6-75-400+400*6-60-75+400*6-105-90-105</f>
        <v>7410</v>
      </c>
      <c r="J50" s="52"/>
      <c r="K50" s="8"/>
      <c r="L50" s="8">
        <f t="shared" si="0"/>
        <v>60660</v>
      </c>
      <c r="M50" s="29">
        <f t="shared" si="9"/>
        <v>57660</v>
      </c>
      <c r="N50" s="29">
        <f t="shared" si="6"/>
        <v>3000</v>
      </c>
      <c r="O50" s="8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31"/>
      <c r="AB50" s="31"/>
      <c r="AC50" s="31"/>
      <c r="AD50" s="31">
        <v>3000</v>
      </c>
      <c r="AE50" s="31">
        <v>2500</v>
      </c>
      <c r="AF50" s="31">
        <f>2500-2000</f>
        <v>500</v>
      </c>
      <c r="AG50" s="31">
        <f>2500-2000</f>
        <v>500</v>
      </c>
      <c r="AH50" s="31">
        <v>2500</v>
      </c>
      <c r="AI50" s="31">
        <v>2500</v>
      </c>
      <c r="AJ50" s="31">
        <v>2500</v>
      </c>
      <c r="AK50" s="31">
        <v>2500</v>
      </c>
      <c r="AL50" s="31">
        <v>2500</v>
      </c>
      <c r="AM50" s="31">
        <v>2500</v>
      </c>
      <c r="AN50" s="31">
        <v>2500</v>
      </c>
      <c r="AO50" s="31">
        <v>2500</v>
      </c>
      <c r="AP50" s="31">
        <v>2500</v>
      </c>
      <c r="AQ50" s="31">
        <v>2500</v>
      </c>
      <c r="AR50" s="31">
        <v>2500</v>
      </c>
      <c r="AS50" s="31">
        <f>2500/2</f>
        <v>1250</v>
      </c>
      <c r="AT50" s="31">
        <v>2500</v>
      </c>
      <c r="AU50" s="31">
        <v>2500</v>
      </c>
      <c r="AV50" s="31">
        <v>2500</v>
      </c>
      <c r="AW50" s="31">
        <v>2500</v>
      </c>
      <c r="AX50" s="31">
        <v>2500</v>
      </c>
      <c r="AY50" s="31">
        <v>2500</v>
      </c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9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>
        <f>20*16</f>
        <v>320</v>
      </c>
      <c r="CC50" s="12">
        <f>400-75</f>
        <v>325</v>
      </c>
      <c r="CD50" s="12">
        <f>400-400</f>
        <v>0</v>
      </c>
      <c r="CE50" s="12"/>
      <c r="CF50" s="12">
        <v>400</v>
      </c>
      <c r="CG50" s="12">
        <f>400-60</f>
        <v>340</v>
      </c>
      <c r="CH50" s="12">
        <v>400</v>
      </c>
      <c r="CI50" s="12">
        <v>400</v>
      </c>
      <c r="CJ50" s="12">
        <v>400</v>
      </c>
      <c r="CK50" s="31">
        <f>400-75</f>
        <v>325</v>
      </c>
      <c r="CL50" s="31">
        <v>400</v>
      </c>
      <c r="CM50" s="31">
        <v>400</v>
      </c>
      <c r="CN50" s="31">
        <v>400</v>
      </c>
      <c r="CO50" s="12">
        <f>400-105</f>
        <v>295</v>
      </c>
      <c r="CP50" s="12">
        <f>400-90</f>
        <v>310</v>
      </c>
      <c r="CQ50" s="12">
        <f>400-105</f>
        <v>295</v>
      </c>
      <c r="CR50" s="12">
        <v>400</v>
      </c>
      <c r="CS50" s="12">
        <v>400</v>
      </c>
      <c r="CT50" s="12">
        <v>400</v>
      </c>
      <c r="CU50" s="12">
        <v>400</v>
      </c>
      <c r="CV50" s="12">
        <v>400</v>
      </c>
      <c r="CW50" s="12">
        <v>400</v>
      </c>
      <c r="CX50" s="180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31"/>
      <c r="EE50" s="12"/>
      <c r="EF50" s="12"/>
      <c r="EG50" s="12"/>
      <c r="EH50" s="12"/>
      <c r="EI50" s="12"/>
      <c r="EJ50" s="23"/>
    </row>
    <row r="51" spans="1:140" ht="22.5" customHeight="1">
      <c r="A51" s="59">
        <v>49</v>
      </c>
      <c r="B51" s="59" t="s">
        <v>1069</v>
      </c>
      <c r="C51" s="54" t="s">
        <v>1213</v>
      </c>
      <c r="D51" s="50">
        <f>150+1200+300+600+600</f>
        <v>2850</v>
      </c>
      <c r="E51" s="79" t="s">
        <v>1214</v>
      </c>
      <c r="F51" s="59" t="s">
        <v>1215</v>
      </c>
      <c r="G51" s="142">
        <f>2500*9+2500*6+2500*6</f>
        <v>52500</v>
      </c>
      <c r="H51" s="52" t="s">
        <v>1215</v>
      </c>
      <c r="I51" s="89">
        <f>400+400+400-60+400+400+400+400+400+400*2-60+400+400*2+400*2+400*6-45</f>
        <v>8235</v>
      </c>
      <c r="J51" s="52"/>
      <c r="K51" s="8"/>
      <c r="L51" s="8">
        <f t="shared" si="0"/>
        <v>63585</v>
      </c>
      <c r="M51" s="29">
        <f t="shared" si="9"/>
        <v>60735</v>
      </c>
      <c r="N51" s="29">
        <f t="shared" si="6"/>
        <v>2850</v>
      </c>
      <c r="O51" s="8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31"/>
      <c r="AB51" s="31"/>
      <c r="AC51" s="31"/>
      <c r="AD51" s="31"/>
      <c r="AE51" s="31">
        <v>2500</v>
      </c>
      <c r="AF51" s="31">
        <v>2500</v>
      </c>
      <c r="AG51" s="31">
        <v>2500</v>
      </c>
      <c r="AH51" s="31">
        <v>2500</v>
      </c>
      <c r="AI51" s="31">
        <v>2500</v>
      </c>
      <c r="AJ51" s="31">
        <v>2500</v>
      </c>
      <c r="AK51" s="31">
        <v>2500</v>
      </c>
      <c r="AL51" s="31">
        <v>2500</v>
      </c>
      <c r="AM51" s="31">
        <v>2500</v>
      </c>
      <c r="AN51" s="31">
        <v>2500</v>
      </c>
      <c r="AO51" s="31">
        <v>2500</v>
      </c>
      <c r="AP51" s="31">
        <v>2500</v>
      </c>
      <c r="AQ51" s="31">
        <v>2500</v>
      </c>
      <c r="AR51" s="31">
        <v>2500</v>
      </c>
      <c r="AS51" s="31">
        <v>2500</v>
      </c>
      <c r="AT51" s="31">
        <v>2500</v>
      </c>
      <c r="AU51" s="31">
        <v>2500</v>
      </c>
      <c r="AV51" s="31">
        <v>2500</v>
      </c>
      <c r="AW51" s="31">
        <v>2500</v>
      </c>
      <c r="AX51" s="31">
        <v>2500</v>
      </c>
      <c r="AY51" s="31">
        <v>2500</v>
      </c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9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>
        <f>400-60</f>
        <v>340</v>
      </c>
      <c r="CD51" s="12">
        <v>400</v>
      </c>
      <c r="CE51" s="12">
        <v>400</v>
      </c>
      <c r="CF51" s="12">
        <v>400</v>
      </c>
      <c r="CG51" s="12">
        <v>400</v>
      </c>
      <c r="CH51" s="12">
        <v>400</v>
      </c>
      <c r="CI51" s="12">
        <v>400</v>
      </c>
      <c r="CJ51" s="12">
        <f>400-60</f>
        <v>340</v>
      </c>
      <c r="CK51" s="31">
        <v>400</v>
      </c>
      <c r="CL51" s="31">
        <v>400</v>
      </c>
      <c r="CM51" s="31">
        <v>400</v>
      </c>
      <c r="CN51" s="31">
        <v>400</v>
      </c>
      <c r="CO51" s="31">
        <f>400-45</f>
        <v>355</v>
      </c>
      <c r="CP51" s="31">
        <v>400</v>
      </c>
      <c r="CQ51" s="31">
        <v>400</v>
      </c>
      <c r="CR51" s="31">
        <v>400</v>
      </c>
      <c r="CS51" s="31">
        <v>400</v>
      </c>
      <c r="CT51" s="31">
        <v>400</v>
      </c>
      <c r="CU51" s="31">
        <v>400</v>
      </c>
      <c r="CV51" s="31">
        <v>400</v>
      </c>
      <c r="CW51" s="31">
        <v>400</v>
      </c>
      <c r="CX51" s="180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31"/>
      <c r="EE51" s="12"/>
      <c r="EF51" s="12"/>
      <c r="EG51" s="12"/>
      <c r="EH51" s="12"/>
      <c r="EI51" s="12"/>
      <c r="EJ51" s="23"/>
    </row>
    <row r="52" spans="1:140" ht="22.5" customHeight="1">
      <c r="A52" s="59">
        <v>50</v>
      </c>
      <c r="B52" s="59" t="s">
        <v>1069</v>
      </c>
      <c r="C52" s="51" t="s">
        <v>1216</v>
      </c>
      <c r="D52" s="50">
        <f>1200+300+300+600+600</f>
        <v>3000</v>
      </c>
      <c r="E52" s="79" t="s">
        <v>1217</v>
      </c>
      <c r="F52" s="59" t="s">
        <v>1215</v>
      </c>
      <c r="G52" s="142">
        <f>3500*9-1500-1500-1750+3500*6-3000-3000-3000+3500*6</f>
        <v>59750</v>
      </c>
      <c r="H52" s="52" t="s">
        <v>1218</v>
      </c>
      <c r="I52" s="89">
        <f>400*3+300*3-75-400+300*2-45-150+300*3-300+300-135+300*2-300+300*6-60</f>
        <v>4835</v>
      </c>
      <c r="J52" s="52" t="s">
        <v>1219</v>
      </c>
      <c r="K52" s="8">
        <f>400*2+400*2+400+400*3+400*2+400*2-400*2</f>
        <v>4000</v>
      </c>
      <c r="L52" s="8">
        <f t="shared" si="0"/>
        <v>71585</v>
      </c>
      <c r="M52" s="29">
        <f>SUM(O52:EC52)</f>
        <v>68585</v>
      </c>
      <c r="N52" s="29">
        <f t="shared" si="6"/>
        <v>3000</v>
      </c>
      <c r="O52" s="8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31"/>
      <c r="AB52" s="31"/>
      <c r="AC52" s="31"/>
      <c r="AD52" s="31"/>
      <c r="AE52" s="31">
        <v>3500</v>
      </c>
      <c r="AF52" s="31">
        <v>3500</v>
      </c>
      <c r="AG52" s="31">
        <f>3500-3000</f>
        <v>500</v>
      </c>
      <c r="AH52" s="31">
        <v>3500</v>
      </c>
      <c r="AI52" s="31">
        <v>3500</v>
      </c>
      <c r="AJ52" s="31">
        <v>3500</v>
      </c>
      <c r="AK52" s="31">
        <f>3500/2</f>
        <v>1750</v>
      </c>
      <c r="AL52" s="31">
        <f>3500-3000</f>
        <v>500</v>
      </c>
      <c r="AM52" s="31">
        <f>3500-3000</f>
        <v>500</v>
      </c>
      <c r="AN52" s="31">
        <v>3500</v>
      </c>
      <c r="AO52" s="31">
        <f>3500-3000</f>
        <v>500</v>
      </c>
      <c r="AP52" s="31">
        <v>3500</v>
      </c>
      <c r="AQ52" s="31">
        <v>3500</v>
      </c>
      <c r="AR52" s="31">
        <v>3500</v>
      </c>
      <c r="AS52" s="31">
        <v>3500</v>
      </c>
      <c r="AT52" s="31">
        <v>3500</v>
      </c>
      <c r="AU52" s="31">
        <v>3500</v>
      </c>
      <c r="AV52" s="31">
        <v>3500</v>
      </c>
      <c r="AW52" s="31">
        <v>3500</v>
      </c>
      <c r="AX52" s="31">
        <v>3500</v>
      </c>
      <c r="AY52" s="31">
        <v>3500</v>
      </c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9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>
        <v>400</v>
      </c>
      <c r="CD52" s="12">
        <f>400-75</f>
        <v>325</v>
      </c>
      <c r="CE52" s="12">
        <f>400-400</f>
        <v>0</v>
      </c>
      <c r="CF52" s="12">
        <v>300</v>
      </c>
      <c r="CG52" s="12">
        <v>300</v>
      </c>
      <c r="CH52" s="12">
        <f>300-45</f>
        <v>255</v>
      </c>
      <c r="CI52" s="12">
        <f>300-150</f>
        <v>150</v>
      </c>
      <c r="CJ52" s="12">
        <f>300-300</f>
        <v>0</v>
      </c>
      <c r="CK52" s="31"/>
      <c r="CL52" s="31">
        <f>300-135</f>
        <v>165</v>
      </c>
      <c r="CM52" s="31">
        <f>300-300</f>
        <v>0</v>
      </c>
      <c r="CN52" s="31">
        <v>300</v>
      </c>
      <c r="CO52" s="31">
        <f>300-60</f>
        <v>240</v>
      </c>
      <c r="CP52" s="31">
        <v>300</v>
      </c>
      <c r="CQ52" s="31">
        <v>300</v>
      </c>
      <c r="CR52" s="31">
        <v>300</v>
      </c>
      <c r="CS52" s="31">
        <v>300</v>
      </c>
      <c r="CT52" s="31">
        <v>300</v>
      </c>
      <c r="CU52" s="31">
        <v>300</v>
      </c>
      <c r="CV52" s="31">
        <v>300</v>
      </c>
      <c r="CW52" s="31">
        <v>300</v>
      </c>
      <c r="CX52" s="180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>
        <v>400</v>
      </c>
      <c r="DS52" s="12">
        <v>400</v>
      </c>
      <c r="DT52" s="12">
        <v>400</v>
      </c>
      <c r="DU52" s="12">
        <v>400</v>
      </c>
      <c r="DV52" s="12"/>
      <c r="DW52" s="12">
        <v>400</v>
      </c>
      <c r="DX52" s="12"/>
      <c r="DY52" s="12">
        <v>400</v>
      </c>
      <c r="DZ52" s="12">
        <v>400</v>
      </c>
      <c r="EA52" s="12">
        <v>400</v>
      </c>
      <c r="EB52" s="12">
        <v>400</v>
      </c>
      <c r="EC52" s="12">
        <v>400</v>
      </c>
      <c r="ED52" s="31">
        <f>400-400</f>
        <v>0</v>
      </c>
      <c r="EE52" s="31">
        <f>400-400</f>
        <v>0</v>
      </c>
      <c r="EF52" s="12"/>
      <c r="EG52" s="12"/>
      <c r="EH52" s="12"/>
      <c r="EI52" s="12"/>
      <c r="EJ52" s="23"/>
    </row>
    <row r="53" spans="1:140" ht="22.5" customHeight="1">
      <c r="A53" s="59">
        <v>51</v>
      </c>
      <c r="B53" s="59" t="s">
        <v>1069</v>
      </c>
      <c r="C53" s="54" t="s">
        <v>1220</v>
      </c>
      <c r="D53" s="50">
        <f>1200+150+300+600+600</f>
        <v>2850</v>
      </c>
      <c r="E53" s="79" t="s">
        <v>1221</v>
      </c>
      <c r="F53" s="59" t="s">
        <v>1222</v>
      </c>
      <c r="G53" s="142">
        <f>2500*9-1250-2000+2500*6-1250-1250-1250+2500*6</f>
        <v>45500</v>
      </c>
      <c r="H53" s="52" t="s">
        <v>1222</v>
      </c>
      <c r="I53" s="89">
        <f>400+400+400*4-1250-180-105+400*3-270-400+400-255-135-120+400*3-150+400*2-400-105-135+400*6-105</f>
        <v>4790</v>
      </c>
      <c r="J53" s="52"/>
      <c r="K53" s="8"/>
      <c r="L53" s="8">
        <f t="shared" si="0"/>
        <v>53140</v>
      </c>
      <c r="M53" s="29">
        <f t="shared" si="9"/>
        <v>50290</v>
      </c>
      <c r="N53" s="29">
        <f t="shared" si="6"/>
        <v>2850</v>
      </c>
      <c r="O53" s="8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31"/>
      <c r="AB53" s="31"/>
      <c r="AC53" s="31"/>
      <c r="AD53" s="31"/>
      <c r="AE53" s="31">
        <f>2500/2</f>
        <v>1250</v>
      </c>
      <c r="AF53" s="31">
        <v>2500</v>
      </c>
      <c r="AG53" s="31">
        <v>2500</v>
      </c>
      <c r="AH53" s="31">
        <f>2500/2</f>
        <v>1250</v>
      </c>
      <c r="AI53" s="31">
        <f>2500-2000</f>
        <v>500</v>
      </c>
      <c r="AJ53" s="31">
        <f>2500/2</f>
        <v>1250</v>
      </c>
      <c r="AK53" s="31">
        <v>2500</v>
      </c>
      <c r="AL53" s="31">
        <v>2500</v>
      </c>
      <c r="AM53" s="31">
        <f>2500/2</f>
        <v>1250</v>
      </c>
      <c r="AN53" s="31">
        <f>2500/2</f>
        <v>1250</v>
      </c>
      <c r="AO53" s="31">
        <v>2500</v>
      </c>
      <c r="AP53" s="31">
        <v>2500</v>
      </c>
      <c r="AQ53" s="31">
        <v>2500</v>
      </c>
      <c r="AR53" s="31">
        <v>2500</v>
      </c>
      <c r="AS53" s="31">
        <v>2500</v>
      </c>
      <c r="AT53" s="31">
        <v>2500</v>
      </c>
      <c r="AU53" s="31">
        <v>2500</v>
      </c>
      <c r="AV53" s="31">
        <v>2500</v>
      </c>
      <c r="AW53" s="31">
        <v>2500</v>
      </c>
      <c r="AX53" s="31">
        <v>2500</v>
      </c>
      <c r="AY53" s="31">
        <v>2500</v>
      </c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9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>
        <f>400-180</f>
        <v>220</v>
      </c>
      <c r="CD53" s="12">
        <v>400</v>
      </c>
      <c r="CE53" s="12">
        <f>400-105</f>
        <v>295</v>
      </c>
      <c r="CF53" s="12">
        <f>400-270</f>
        <v>130</v>
      </c>
      <c r="CG53" s="12">
        <f>400-400</f>
        <v>0</v>
      </c>
      <c r="CH53" s="12">
        <f>400-255</f>
        <v>145</v>
      </c>
      <c r="CI53" s="12">
        <f>400-135</f>
        <v>265</v>
      </c>
      <c r="CJ53" s="12">
        <f>400-120</f>
        <v>280</v>
      </c>
      <c r="CK53" s="31">
        <f>400-150</f>
        <v>250</v>
      </c>
      <c r="CL53" s="31">
        <f>400-400</f>
        <v>0</v>
      </c>
      <c r="CM53" s="31">
        <f>400-105</f>
        <v>295</v>
      </c>
      <c r="CN53" s="31">
        <f>400-135</f>
        <v>265</v>
      </c>
      <c r="CO53" s="31">
        <f>400-105</f>
        <v>295</v>
      </c>
      <c r="CP53" s="31">
        <v>400</v>
      </c>
      <c r="CQ53" s="31">
        <v>400</v>
      </c>
      <c r="CR53" s="31">
        <v>400</v>
      </c>
      <c r="CS53" s="31">
        <v>400</v>
      </c>
      <c r="CT53" s="31">
        <v>400</v>
      </c>
      <c r="CU53" s="31">
        <v>400</v>
      </c>
      <c r="CV53" s="31">
        <v>400</v>
      </c>
      <c r="CW53" s="31">
        <v>400</v>
      </c>
      <c r="CX53" s="180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31"/>
      <c r="EE53" s="12"/>
      <c r="EF53" s="12"/>
      <c r="EG53" s="12"/>
      <c r="EH53" s="12"/>
      <c r="EI53" s="12"/>
      <c r="EJ53" s="23"/>
    </row>
    <row r="54" spans="1:140" ht="22.5" customHeight="1">
      <c r="A54" s="59">
        <v>52</v>
      </c>
      <c r="B54" s="59" t="s">
        <v>1069</v>
      </c>
      <c r="C54" s="54" t="s">
        <v>1223</v>
      </c>
      <c r="D54" s="50">
        <f>1200+150+300+600+600</f>
        <v>2850</v>
      </c>
      <c r="E54" s="79" t="s">
        <v>1224</v>
      </c>
      <c r="F54" s="59" t="s">
        <v>1225</v>
      </c>
      <c r="G54" s="142">
        <f>3500*8+3500*6-800+3500*6</f>
        <v>69200</v>
      </c>
      <c r="H54" s="52" t="s">
        <v>1225</v>
      </c>
      <c r="I54" s="89">
        <f>400*2+400*3-75+400*3-45+400*4+400*8-45</f>
        <v>7835</v>
      </c>
      <c r="J54" s="52"/>
      <c r="K54" s="8"/>
      <c r="L54" s="8">
        <f t="shared" si="0"/>
        <v>79885</v>
      </c>
      <c r="M54" s="29">
        <f>SUM(O54:DX54)</f>
        <v>77035</v>
      </c>
      <c r="N54" s="29">
        <f t="shared" si="6"/>
        <v>2850</v>
      </c>
      <c r="O54" s="8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31"/>
      <c r="AB54" s="31"/>
      <c r="AC54" s="31"/>
      <c r="AD54" s="31"/>
      <c r="AE54" s="31"/>
      <c r="AF54" s="31">
        <v>3500</v>
      </c>
      <c r="AG54" s="31">
        <v>3500</v>
      </c>
      <c r="AH54" s="31">
        <v>3500</v>
      </c>
      <c r="AI54" s="31">
        <v>3500</v>
      </c>
      <c r="AJ54" s="31">
        <v>3500</v>
      </c>
      <c r="AK54" s="31">
        <v>3500</v>
      </c>
      <c r="AL54" s="31">
        <v>3500</v>
      </c>
      <c r="AM54" s="31">
        <v>3500</v>
      </c>
      <c r="AN54" s="31">
        <f>3500-800</f>
        <v>2700</v>
      </c>
      <c r="AO54" s="31">
        <v>3500</v>
      </c>
      <c r="AP54" s="31">
        <v>3500</v>
      </c>
      <c r="AQ54" s="31">
        <v>3500</v>
      </c>
      <c r="AR54" s="31">
        <v>3500</v>
      </c>
      <c r="AS54" s="31">
        <v>3500</v>
      </c>
      <c r="AT54" s="31">
        <v>3500</v>
      </c>
      <c r="AU54" s="31">
        <v>3500</v>
      </c>
      <c r="AV54" s="31">
        <v>3500</v>
      </c>
      <c r="AW54" s="31">
        <v>3500</v>
      </c>
      <c r="AX54" s="31">
        <v>3500</v>
      </c>
      <c r="AY54" s="31">
        <v>3500</v>
      </c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9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>
        <v>400</v>
      </c>
      <c r="CE54" s="12">
        <f>400-75</f>
        <v>325</v>
      </c>
      <c r="CF54" s="12">
        <f>400-45</f>
        <v>355</v>
      </c>
      <c r="CG54" s="12">
        <v>400</v>
      </c>
      <c r="CH54" s="12">
        <v>400</v>
      </c>
      <c r="CI54" s="12">
        <v>400</v>
      </c>
      <c r="CJ54" s="12">
        <v>400</v>
      </c>
      <c r="CK54" s="31">
        <v>400</v>
      </c>
      <c r="CL54" s="31">
        <v>400</v>
      </c>
      <c r="CM54" s="31">
        <v>400</v>
      </c>
      <c r="CN54" s="31">
        <v>400</v>
      </c>
      <c r="CO54" s="12">
        <v>400</v>
      </c>
      <c r="CP54" s="12">
        <f>400-45</f>
        <v>355</v>
      </c>
      <c r="CQ54" s="12">
        <v>400</v>
      </c>
      <c r="CR54" s="12">
        <v>400</v>
      </c>
      <c r="CS54" s="12">
        <v>400</v>
      </c>
      <c r="CT54" s="12">
        <v>400</v>
      </c>
      <c r="CU54" s="12">
        <v>400</v>
      </c>
      <c r="CV54" s="12">
        <v>400</v>
      </c>
      <c r="CW54" s="12">
        <v>400</v>
      </c>
      <c r="CX54" s="180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31"/>
      <c r="EE54" s="12"/>
      <c r="EF54" s="12"/>
      <c r="EG54" s="12"/>
      <c r="EH54" s="12"/>
      <c r="EI54" s="12"/>
      <c r="EJ54" s="23"/>
    </row>
    <row r="55" spans="1:140" ht="22.5" customHeight="1">
      <c r="A55" s="59">
        <v>53</v>
      </c>
      <c r="B55" s="59" t="s">
        <v>1069</v>
      </c>
      <c r="C55" s="54" t="s">
        <v>1226</v>
      </c>
      <c r="D55" s="50">
        <f>1200+150+300+600+600</f>
        <v>2850</v>
      </c>
      <c r="E55" s="79" t="s">
        <v>1227</v>
      </c>
      <c r="F55" s="59" t="s">
        <v>1228</v>
      </c>
      <c r="G55" s="142">
        <f>2500*8-2000+2500*6-1250-2000+2500*6-1250-2000-2000</f>
        <v>39500</v>
      </c>
      <c r="H55" s="52" t="s">
        <v>1229</v>
      </c>
      <c r="I55" s="89">
        <f>400+400+400+400-45+400+400-75+400-210+400+400+400-165+400*6</f>
        <v>5905</v>
      </c>
      <c r="J55" s="52"/>
      <c r="K55" s="8"/>
      <c r="L55" s="8">
        <f t="shared" si="0"/>
        <v>48255</v>
      </c>
      <c r="M55" s="29">
        <f>SUM(O55:DX55)</f>
        <v>45405</v>
      </c>
      <c r="N55" s="29">
        <f t="shared" si="6"/>
        <v>2850</v>
      </c>
      <c r="O55" s="8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31"/>
      <c r="AB55" s="31"/>
      <c r="AC55" s="31"/>
      <c r="AD55" s="31"/>
      <c r="AE55" s="31"/>
      <c r="AF55" s="31">
        <v>2500</v>
      </c>
      <c r="AG55" s="31">
        <f>2500-2000</f>
        <v>500</v>
      </c>
      <c r="AH55" s="31">
        <v>2500</v>
      </c>
      <c r="AI55" s="31">
        <v>2500</v>
      </c>
      <c r="AJ55" s="31">
        <v>2500</v>
      </c>
      <c r="AK55" s="31">
        <v>2500</v>
      </c>
      <c r="AL55" s="31">
        <f>2500/2</f>
        <v>1250</v>
      </c>
      <c r="AM55" s="31">
        <f>2500-2000</f>
        <v>500</v>
      </c>
      <c r="AN55" s="31">
        <v>2500</v>
      </c>
      <c r="AO55" s="31">
        <v>2500</v>
      </c>
      <c r="AP55" s="31">
        <f>2500/2</f>
        <v>1250</v>
      </c>
      <c r="AQ55" s="31">
        <v>2500</v>
      </c>
      <c r="AR55" s="31">
        <f>2500-2000</f>
        <v>500</v>
      </c>
      <c r="AS55" s="31">
        <f>2500-2000</f>
        <v>500</v>
      </c>
      <c r="AT55" s="31">
        <v>2500</v>
      </c>
      <c r="AU55" s="31">
        <v>2500</v>
      </c>
      <c r="AV55" s="31">
        <v>2500</v>
      </c>
      <c r="AW55" s="31">
        <v>2500</v>
      </c>
      <c r="AX55" s="31">
        <v>2500</v>
      </c>
      <c r="AY55" s="31">
        <v>2500</v>
      </c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9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>
        <v>400</v>
      </c>
      <c r="CE55" s="12"/>
      <c r="CF55" s="12">
        <f>400-45</f>
        <v>355</v>
      </c>
      <c r="CG55" s="12">
        <v>400</v>
      </c>
      <c r="CH55" s="12">
        <f>400-75</f>
        <v>325</v>
      </c>
      <c r="CI55" s="12">
        <v>400</v>
      </c>
      <c r="CJ55" s="12">
        <f>400-210</f>
        <v>190</v>
      </c>
      <c r="CK55" s="31"/>
      <c r="CL55" s="31">
        <v>400</v>
      </c>
      <c r="CM55" s="31">
        <v>400</v>
      </c>
      <c r="CN55" s="31">
        <f>400-165</f>
        <v>235</v>
      </c>
      <c r="CO55" s="31">
        <v>400</v>
      </c>
      <c r="CP55" s="12"/>
      <c r="CQ55" s="12"/>
      <c r="CR55" s="12">
        <v>400</v>
      </c>
      <c r="CS55" s="12">
        <v>400</v>
      </c>
      <c r="CT55" s="12">
        <v>400</v>
      </c>
      <c r="CU55" s="12">
        <v>400</v>
      </c>
      <c r="CV55" s="12">
        <v>400</v>
      </c>
      <c r="CW55" s="12">
        <v>400</v>
      </c>
      <c r="CX55" s="180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31"/>
      <c r="EE55" s="12"/>
      <c r="EF55" s="12"/>
      <c r="EG55" s="12"/>
      <c r="EH55" s="12"/>
      <c r="EI55" s="12"/>
      <c r="EJ55" s="23"/>
    </row>
    <row r="56" spans="1:140" s="32" customFormat="1" ht="22.5" customHeight="1">
      <c r="A56" s="59">
        <v>54</v>
      </c>
      <c r="B56" s="59" t="s">
        <v>1069</v>
      </c>
      <c r="C56" s="51" t="s">
        <v>1230</v>
      </c>
      <c r="D56" s="50">
        <f>1200+300+600+115+600</f>
        <v>2815</v>
      </c>
      <c r="E56" s="80" t="s">
        <v>1231</v>
      </c>
      <c r="F56" s="52" t="s">
        <v>1207</v>
      </c>
      <c r="G56" s="141">
        <f>2500*6+2500*6-2000+2500*6</f>
        <v>43000</v>
      </c>
      <c r="H56" s="52" t="s">
        <v>1207</v>
      </c>
      <c r="I56" s="89">
        <f>400*2+400-45+400+400*2+400*3-120-400+400*2-45+400*7-120</f>
        <v>6470</v>
      </c>
      <c r="J56" s="52" t="s">
        <v>1232</v>
      </c>
      <c r="K56" s="8">
        <f>400*2+400*3+400*6+400*6</f>
        <v>6800</v>
      </c>
      <c r="L56" s="29">
        <f t="shared" si="0"/>
        <v>59085</v>
      </c>
      <c r="M56" s="29">
        <f>SUM(O56:EI56)</f>
        <v>56270</v>
      </c>
      <c r="N56" s="29">
        <f t="shared" si="6"/>
        <v>2815</v>
      </c>
      <c r="O56" s="29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>
        <v>2500</v>
      </c>
      <c r="AI56" s="31">
        <v>2500</v>
      </c>
      <c r="AJ56" s="31">
        <v>2500</v>
      </c>
      <c r="AK56" s="31">
        <v>2500</v>
      </c>
      <c r="AL56" s="31">
        <f>2500-2000</f>
        <v>500</v>
      </c>
      <c r="AM56" s="31">
        <v>2500</v>
      </c>
      <c r="AN56" s="31">
        <v>2500</v>
      </c>
      <c r="AO56" s="31">
        <v>2500</v>
      </c>
      <c r="AP56" s="31">
        <v>2500</v>
      </c>
      <c r="AQ56" s="31">
        <v>2500</v>
      </c>
      <c r="AR56" s="31">
        <v>2500</v>
      </c>
      <c r="AS56" s="31">
        <v>2500</v>
      </c>
      <c r="AT56" s="31">
        <v>2500</v>
      </c>
      <c r="AU56" s="31">
        <v>2500</v>
      </c>
      <c r="AV56" s="31">
        <v>2500</v>
      </c>
      <c r="AW56" s="31">
        <v>2500</v>
      </c>
      <c r="AX56" s="31">
        <v>2500</v>
      </c>
      <c r="AY56" s="31">
        <v>2500</v>
      </c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9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>
        <f>400-45</f>
        <v>355</v>
      </c>
      <c r="CG56" s="31">
        <v>400</v>
      </c>
      <c r="CH56" s="31">
        <v>400</v>
      </c>
      <c r="CI56" s="31">
        <f>400-120</f>
        <v>280</v>
      </c>
      <c r="CJ56" s="31">
        <f>400-400</f>
        <v>0</v>
      </c>
      <c r="CK56" s="31">
        <v>400</v>
      </c>
      <c r="CL56" s="31">
        <v>400</v>
      </c>
      <c r="CM56" s="31">
        <f>400-45</f>
        <v>355</v>
      </c>
      <c r="CN56" s="31">
        <v>400</v>
      </c>
      <c r="CO56" s="31">
        <v>400</v>
      </c>
      <c r="CP56" s="31">
        <f>400-120</f>
        <v>280</v>
      </c>
      <c r="CQ56" s="31">
        <v>400</v>
      </c>
      <c r="CR56" s="31">
        <v>400</v>
      </c>
      <c r="CS56" s="31">
        <v>400</v>
      </c>
      <c r="CT56" s="31">
        <v>400</v>
      </c>
      <c r="CU56" s="31">
        <v>400</v>
      </c>
      <c r="CV56" s="31">
        <v>400</v>
      </c>
      <c r="CW56" s="31">
        <v>400</v>
      </c>
      <c r="CX56" s="180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182"/>
      <c r="DM56" s="182"/>
      <c r="DN56" s="182"/>
      <c r="DO56" s="182"/>
      <c r="DP56" s="182"/>
      <c r="DQ56" s="182"/>
      <c r="DR56" s="31"/>
      <c r="DS56" s="31">
        <v>400</v>
      </c>
      <c r="DT56" s="31">
        <v>400</v>
      </c>
      <c r="DU56" s="31">
        <v>400</v>
      </c>
      <c r="DV56" s="31">
        <v>400</v>
      </c>
      <c r="DW56" s="31">
        <v>400</v>
      </c>
      <c r="DX56" s="31">
        <v>400</v>
      </c>
      <c r="DY56" s="31">
        <v>400</v>
      </c>
      <c r="DZ56" s="31">
        <v>400</v>
      </c>
      <c r="EA56" s="31">
        <v>400</v>
      </c>
      <c r="EB56" s="31">
        <v>400</v>
      </c>
      <c r="EC56" s="31">
        <v>400</v>
      </c>
      <c r="ED56" s="31">
        <v>400</v>
      </c>
      <c r="EE56" s="31">
        <v>400</v>
      </c>
      <c r="EF56" s="31">
        <v>400</v>
      </c>
      <c r="EG56" s="31">
        <v>400</v>
      </c>
      <c r="EH56" s="31">
        <v>400</v>
      </c>
      <c r="EI56" s="31">
        <v>400</v>
      </c>
      <c r="EJ56" s="28"/>
    </row>
    <row r="57" spans="1:140" s="32" customFormat="1" ht="22.5" customHeight="1">
      <c r="A57" s="59">
        <v>55</v>
      </c>
      <c r="B57" s="59" t="s">
        <v>1069</v>
      </c>
      <c r="C57" s="51" t="s">
        <v>1233</v>
      </c>
      <c r="D57" s="50">
        <f t="shared" ref="D57:D304" si="11">1200+300+600+600</f>
        <v>2700</v>
      </c>
      <c r="E57" s="80" t="s">
        <v>1234</v>
      </c>
      <c r="F57" s="52" t="s">
        <v>1207</v>
      </c>
      <c r="G57" s="141">
        <f>2500*6+2500*6+2500*6</f>
        <v>45000</v>
      </c>
      <c r="H57" s="52" t="s">
        <v>1207</v>
      </c>
      <c r="I57" s="89">
        <f>400+400*2+400*3-90+400*3-105+400*3-60+400*6-150</f>
        <v>6795</v>
      </c>
      <c r="J57" s="52" t="s">
        <v>1232</v>
      </c>
      <c r="K57" s="8">
        <f>400*2+400*3+400*6+400*6</f>
        <v>6800</v>
      </c>
      <c r="L57" s="29">
        <f t="shared" si="0"/>
        <v>61295</v>
      </c>
      <c r="M57" s="29">
        <f>SUM(O57:EI57)</f>
        <v>58595</v>
      </c>
      <c r="N57" s="29">
        <f t="shared" si="6"/>
        <v>2700</v>
      </c>
      <c r="O57" s="29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>
        <v>2500</v>
      </c>
      <c r="AI57" s="31">
        <v>2500</v>
      </c>
      <c r="AJ57" s="31">
        <v>2500</v>
      </c>
      <c r="AK57" s="31">
        <v>2500</v>
      </c>
      <c r="AL57" s="31">
        <v>2500</v>
      </c>
      <c r="AM57" s="31">
        <v>2500</v>
      </c>
      <c r="AN57" s="31">
        <v>2500</v>
      </c>
      <c r="AO57" s="31">
        <v>2500</v>
      </c>
      <c r="AP57" s="31">
        <v>2500</v>
      </c>
      <c r="AQ57" s="31">
        <v>2500</v>
      </c>
      <c r="AR57" s="31">
        <v>2500</v>
      </c>
      <c r="AS57" s="31">
        <v>2500</v>
      </c>
      <c r="AT57" s="31">
        <v>2500</v>
      </c>
      <c r="AU57" s="31">
        <v>2500</v>
      </c>
      <c r="AV57" s="31">
        <v>2500</v>
      </c>
      <c r="AW57" s="31">
        <v>2500</v>
      </c>
      <c r="AX57" s="31">
        <v>2500</v>
      </c>
      <c r="AY57" s="31">
        <v>2500</v>
      </c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9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>
        <v>400</v>
      </c>
      <c r="CG57" s="31">
        <f>400-90</f>
        <v>310</v>
      </c>
      <c r="CH57" s="31">
        <v>400</v>
      </c>
      <c r="CI57" s="31">
        <f>400-105</f>
        <v>295</v>
      </c>
      <c r="CJ57" s="31">
        <v>400</v>
      </c>
      <c r="CK57" s="31">
        <v>400</v>
      </c>
      <c r="CL57" s="31">
        <v>400</v>
      </c>
      <c r="CM57" s="31">
        <f>400-60</f>
        <v>340</v>
      </c>
      <c r="CN57" s="31">
        <v>400</v>
      </c>
      <c r="CO57" s="31">
        <v>400</v>
      </c>
      <c r="CP57" s="31">
        <f>400-150</f>
        <v>250</v>
      </c>
      <c r="CQ57" s="31">
        <v>400</v>
      </c>
      <c r="CR57" s="31">
        <v>400</v>
      </c>
      <c r="CS57" s="31">
        <v>400</v>
      </c>
      <c r="CT57" s="31">
        <v>400</v>
      </c>
      <c r="CU57" s="31">
        <v>400</v>
      </c>
      <c r="CV57" s="31">
        <v>400</v>
      </c>
      <c r="CW57" s="31">
        <v>400</v>
      </c>
      <c r="CX57" s="180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182"/>
      <c r="DM57" s="182"/>
      <c r="DN57" s="182"/>
      <c r="DO57" s="182"/>
      <c r="DP57" s="182"/>
      <c r="DQ57" s="182"/>
      <c r="DR57" s="31"/>
      <c r="DS57" s="31">
        <v>400</v>
      </c>
      <c r="DT57" s="31">
        <v>400</v>
      </c>
      <c r="DU57" s="31">
        <v>400</v>
      </c>
      <c r="DV57" s="31">
        <v>400</v>
      </c>
      <c r="DW57" s="31">
        <v>400</v>
      </c>
      <c r="DX57" s="31">
        <v>400</v>
      </c>
      <c r="DY57" s="31">
        <v>400</v>
      </c>
      <c r="DZ57" s="31">
        <v>400</v>
      </c>
      <c r="EA57" s="31">
        <v>400</v>
      </c>
      <c r="EB57" s="31">
        <v>400</v>
      </c>
      <c r="EC57" s="31">
        <v>400</v>
      </c>
      <c r="ED57" s="31">
        <v>400</v>
      </c>
      <c r="EE57" s="31">
        <v>400</v>
      </c>
      <c r="EF57" s="31">
        <v>400</v>
      </c>
      <c r="EG57" s="31">
        <v>400</v>
      </c>
      <c r="EH57" s="31">
        <v>400</v>
      </c>
      <c r="EI57" s="31">
        <v>400</v>
      </c>
      <c r="EJ57" s="28"/>
    </row>
    <row r="58" spans="1:140" s="32" customFormat="1" ht="22.5" customHeight="1">
      <c r="A58" s="59">
        <v>56</v>
      </c>
      <c r="B58" s="59" t="s">
        <v>1069</v>
      </c>
      <c r="C58" s="51" t="s">
        <v>1235</v>
      </c>
      <c r="D58" s="50">
        <f t="shared" si="11"/>
        <v>2700</v>
      </c>
      <c r="E58" s="80" t="s">
        <v>1236</v>
      </c>
      <c r="F58" s="52" t="s">
        <v>1207</v>
      </c>
      <c r="G58" s="141">
        <f>2500*6+2500*6+2500*6-2000-2000</f>
        <v>41000</v>
      </c>
      <c r="H58" s="52" t="s">
        <v>1207</v>
      </c>
      <c r="I58" s="89">
        <f>400*2+400*2+400*2-135+400+400*2-45+400*2-90-90+400*7-120-400-400</f>
        <v>5920</v>
      </c>
      <c r="J58" s="52"/>
      <c r="K58" s="8"/>
      <c r="L58" s="29">
        <f t="shared" si="0"/>
        <v>49620</v>
      </c>
      <c r="M58" s="29">
        <f>SUM(O58:DS58)</f>
        <v>46920</v>
      </c>
      <c r="N58" s="29">
        <f t="shared" si="6"/>
        <v>2700</v>
      </c>
      <c r="O58" s="29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>
        <v>2500</v>
      </c>
      <c r="AI58" s="31">
        <v>2500</v>
      </c>
      <c r="AJ58" s="31">
        <v>2500</v>
      </c>
      <c r="AK58" s="31">
        <v>2500</v>
      </c>
      <c r="AL58" s="31">
        <v>2500</v>
      </c>
      <c r="AM58" s="31">
        <v>2500</v>
      </c>
      <c r="AN58" s="31">
        <v>2500</v>
      </c>
      <c r="AO58" s="31">
        <v>2500</v>
      </c>
      <c r="AP58" s="31">
        <v>2500</v>
      </c>
      <c r="AQ58" s="31">
        <v>2500</v>
      </c>
      <c r="AR58" s="31">
        <f>2500-2000</f>
        <v>500</v>
      </c>
      <c r="AS58" s="31">
        <f>2500-2000</f>
        <v>500</v>
      </c>
      <c r="AT58" s="31">
        <v>2500</v>
      </c>
      <c r="AU58" s="31">
        <v>2500</v>
      </c>
      <c r="AV58" s="31">
        <v>2500</v>
      </c>
      <c r="AW58" s="31">
        <v>2500</v>
      </c>
      <c r="AX58" s="31">
        <v>2500</v>
      </c>
      <c r="AY58" s="31">
        <v>2500</v>
      </c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9"/>
      <c r="BM58" s="31"/>
      <c r="BN58" s="31"/>
      <c r="BO58" s="31"/>
      <c r="BP58" s="31"/>
      <c r="BQ58" s="31"/>
      <c r="BR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>
        <v>400</v>
      </c>
      <c r="CG58" s="31">
        <f>400-135</f>
        <v>265</v>
      </c>
      <c r="CH58" s="31">
        <v>400</v>
      </c>
      <c r="CI58" s="31">
        <v>400</v>
      </c>
      <c r="CJ58" s="31">
        <v>400</v>
      </c>
      <c r="CK58" s="31">
        <f>400-45</f>
        <v>355</v>
      </c>
      <c r="CL58" s="31">
        <f>400-90</f>
        <v>310</v>
      </c>
      <c r="CM58" s="31">
        <f>400-90</f>
        <v>310</v>
      </c>
      <c r="CN58" s="31">
        <v>400</v>
      </c>
      <c r="CO58" s="31">
        <f>400-120</f>
        <v>280</v>
      </c>
      <c r="CP58" s="31">
        <f>400-400</f>
        <v>0</v>
      </c>
      <c r="CQ58" s="31">
        <f>400-400</f>
        <v>0</v>
      </c>
      <c r="CR58" s="31">
        <v>400</v>
      </c>
      <c r="CS58" s="31">
        <v>400</v>
      </c>
      <c r="CT58" s="31">
        <v>400</v>
      </c>
      <c r="CU58" s="31">
        <v>400</v>
      </c>
      <c r="CV58" s="31">
        <v>400</v>
      </c>
      <c r="CW58" s="31">
        <v>400</v>
      </c>
      <c r="CX58" s="180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182"/>
      <c r="DM58" s="182"/>
      <c r="DN58" s="182"/>
      <c r="DO58" s="182"/>
      <c r="DP58" s="182"/>
      <c r="DQ58" s="182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28"/>
    </row>
    <row r="59" spans="1:140" s="32" customFormat="1" ht="22.5" customHeight="1">
      <c r="A59" s="59">
        <v>57</v>
      </c>
      <c r="B59" s="59" t="s">
        <v>1069</v>
      </c>
      <c r="C59" s="51" t="s">
        <v>1237</v>
      </c>
      <c r="D59" s="50">
        <f t="shared" si="11"/>
        <v>2700</v>
      </c>
      <c r="E59" s="80" t="s">
        <v>1238</v>
      </c>
      <c r="F59" s="52" t="s">
        <v>1207</v>
      </c>
      <c r="G59" s="141">
        <f>2500*6+2500*6+2500*6-1250</f>
        <v>43750</v>
      </c>
      <c r="H59" s="52" t="s">
        <v>1207</v>
      </c>
      <c r="I59" s="89">
        <f>400+400+400+400+400+400+310+400-45+400+400+400+400*7-195</f>
        <v>6870</v>
      </c>
      <c r="J59" s="52"/>
      <c r="K59" s="8"/>
      <c r="L59" s="29">
        <f t="shared" si="0"/>
        <v>53320</v>
      </c>
      <c r="M59" s="29">
        <f>SUM(O59:DS59)</f>
        <v>50620</v>
      </c>
      <c r="N59" s="29">
        <f t="shared" si="6"/>
        <v>2700</v>
      </c>
      <c r="O59" s="29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>
        <v>2500</v>
      </c>
      <c r="AI59" s="31">
        <v>2500</v>
      </c>
      <c r="AJ59" s="31">
        <v>2500</v>
      </c>
      <c r="AK59" s="31">
        <v>2500</v>
      </c>
      <c r="AL59" s="31">
        <v>2500</v>
      </c>
      <c r="AM59" s="31">
        <v>2500</v>
      </c>
      <c r="AN59" s="31">
        <v>2500</v>
      </c>
      <c r="AO59" s="31">
        <v>2500</v>
      </c>
      <c r="AP59" s="31">
        <v>2500</v>
      </c>
      <c r="AQ59" s="31">
        <v>2500</v>
      </c>
      <c r="AR59" s="31">
        <f>2500/2</f>
        <v>1250</v>
      </c>
      <c r="AS59" s="31">
        <v>2500</v>
      </c>
      <c r="AT59" s="31">
        <v>2500</v>
      </c>
      <c r="AU59" s="31">
        <v>2500</v>
      </c>
      <c r="AV59" s="31">
        <v>2500</v>
      </c>
      <c r="AW59" s="31">
        <v>2500</v>
      </c>
      <c r="AX59" s="31">
        <v>2500</v>
      </c>
      <c r="AY59" s="31">
        <v>2500</v>
      </c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9"/>
      <c r="BM59" s="31"/>
      <c r="BN59" s="31"/>
      <c r="BO59" s="31"/>
      <c r="BP59" s="31"/>
      <c r="BQ59" s="31"/>
      <c r="BR59" s="31"/>
      <c r="BS59" s="28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>
        <v>400</v>
      </c>
      <c r="CG59" s="31">
        <v>400</v>
      </c>
      <c r="CH59" s="31">
        <v>400</v>
      </c>
      <c r="CI59" s="31">
        <v>400</v>
      </c>
      <c r="CJ59" s="31">
        <v>400</v>
      </c>
      <c r="CK59" s="31">
        <f>400-45</f>
        <v>355</v>
      </c>
      <c r="CL59" s="31">
        <f>400-90</f>
        <v>310</v>
      </c>
      <c r="CM59" s="31">
        <v>400</v>
      </c>
      <c r="CN59" s="31">
        <v>400</v>
      </c>
      <c r="CO59" s="31">
        <v>400</v>
      </c>
      <c r="CP59" s="31">
        <f>400-195</f>
        <v>205</v>
      </c>
      <c r="CQ59" s="31">
        <v>400</v>
      </c>
      <c r="CR59" s="31">
        <v>400</v>
      </c>
      <c r="CS59" s="31">
        <v>400</v>
      </c>
      <c r="CT59" s="31">
        <v>400</v>
      </c>
      <c r="CU59" s="31">
        <v>400</v>
      </c>
      <c r="CV59" s="31">
        <v>400</v>
      </c>
      <c r="CW59" s="31">
        <v>400</v>
      </c>
      <c r="CX59" s="180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182"/>
      <c r="DM59" s="182"/>
      <c r="DN59" s="182"/>
      <c r="DO59" s="182"/>
      <c r="DP59" s="182"/>
      <c r="DQ59" s="182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28"/>
    </row>
    <row r="60" spans="1:140" s="32" customFormat="1" ht="22.5" customHeight="1">
      <c r="A60" s="59">
        <v>58</v>
      </c>
      <c r="B60" s="59" t="s">
        <v>1069</v>
      </c>
      <c r="C60" s="51" t="s">
        <v>1239</v>
      </c>
      <c r="D60" s="50">
        <f t="shared" si="11"/>
        <v>2700</v>
      </c>
      <c r="E60" s="80" t="s">
        <v>1240</v>
      </c>
      <c r="F60" s="52" t="s">
        <v>1207</v>
      </c>
      <c r="G60" s="141">
        <f>2500*6+2500*6+2500*6</f>
        <v>45000</v>
      </c>
      <c r="H60" s="52" t="s">
        <v>1207</v>
      </c>
      <c r="I60" s="89">
        <f>400+400+400+400+400+400+400+400+400*4+400*6-60</f>
        <v>7140</v>
      </c>
      <c r="J60" s="52" t="s">
        <v>1241</v>
      </c>
      <c r="K60" s="8">
        <f>400*6+400*6+400*6</f>
        <v>7200</v>
      </c>
      <c r="L60" s="29">
        <f>D60+G60+I60+K60</f>
        <v>62040</v>
      </c>
      <c r="M60" s="29">
        <f>SUM(O60:EJ60)</f>
        <v>59340</v>
      </c>
      <c r="N60" s="29">
        <f t="shared" si="6"/>
        <v>2700</v>
      </c>
      <c r="O60" s="29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>
        <v>2500</v>
      </c>
      <c r="AI60" s="31">
        <v>2500</v>
      </c>
      <c r="AJ60" s="31">
        <v>2500</v>
      </c>
      <c r="AK60" s="31">
        <v>2500</v>
      </c>
      <c r="AL60" s="31">
        <v>2500</v>
      </c>
      <c r="AM60" s="31">
        <v>2500</v>
      </c>
      <c r="AN60" s="31">
        <v>2500</v>
      </c>
      <c r="AO60" s="31">
        <v>2500</v>
      </c>
      <c r="AP60" s="31">
        <v>2500</v>
      </c>
      <c r="AQ60" s="31">
        <v>2500</v>
      </c>
      <c r="AR60" s="31">
        <v>2500</v>
      </c>
      <c r="AS60" s="31">
        <v>2500</v>
      </c>
      <c r="AT60" s="31">
        <v>2500</v>
      </c>
      <c r="AU60" s="31">
        <v>2500</v>
      </c>
      <c r="AV60" s="31">
        <v>2500</v>
      </c>
      <c r="AW60" s="31">
        <v>2500</v>
      </c>
      <c r="AX60" s="31">
        <v>2500</v>
      </c>
      <c r="AY60" s="31">
        <v>2500</v>
      </c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9"/>
      <c r="BM60" s="31"/>
      <c r="BN60" s="31"/>
      <c r="BO60" s="31"/>
      <c r="BP60" s="31"/>
      <c r="BQ60" s="31"/>
      <c r="BR60" s="31"/>
      <c r="BS60" s="28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>
        <v>400</v>
      </c>
      <c r="CG60" s="31">
        <v>400</v>
      </c>
      <c r="CH60" s="31">
        <v>400</v>
      </c>
      <c r="CI60" s="31">
        <v>400</v>
      </c>
      <c r="CJ60" s="31">
        <v>400</v>
      </c>
      <c r="CK60" s="31">
        <v>400</v>
      </c>
      <c r="CL60" s="31">
        <v>400</v>
      </c>
      <c r="CM60" s="31">
        <v>400</v>
      </c>
      <c r="CN60" s="31">
        <f>400-60</f>
        <v>340</v>
      </c>
      <c r="CO60" s="31">
        <v>400</v>
      </c>
      <c r="CP60" s="31">
        <f>400</f>
        <v>400</v>
      </c>
      <c r="CQ60" s="31">
        <v>400</v>
      </c>
      <c r="CR60" s="31">
        <v>400</v>
      </c>
      <c r="CS60" s="31">
        <v>400</v>
      </c>
      <c r="CT60" s="31">
        <v>400</v>
      </c>
      <c r="CU60" s="31">
        <v>400</v>
      </c>
      <c r="CV60" s="31">
        <v>400</v>
      </c>
      <c r="CW60" s="31">
        <v>400</v>
      </c>
      <c r="CX60" s="180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182"/>
      <c r="DM60" s="182"/>
      <c r="DN60" s="182"/>
      <c r="DO60" s="182"/>
      <c r="DP60" s="182"/>
      <c r="DQ60" s="182"/>
      <c r="DR60" s="31">
        <v>400</v>
      </c>
      <c r="DS60" s="31">
        <v>400</v>
      </c>
      <c r="DT60" s="31">
        <v>400</v>
      </c>
      <c r="DU60" s="31">
        <v>400</v>
      </c>
      <c r="DV60" s="31">
        <v>400</v>
      </c>
      <c r="DW60" s="31">
        <v>400</v>
      </c>
      <c r="DX60" s="31">
        <v>400</v>
      </c>
      <c r="DY60" s="31">
        <v>400</v>
      </c>
      <c r="DZ60" s="31">
        <v>400</v>
      </c>
      <c r="EA60" s="31">
        <v>400</v>
      </c>
      <c r="EB60" s="31">
        <v>400</v>
      </c>
      <c r="EC60" s="31">
        <v>400</v>
      </c>
      <c r="ED60" s="31">
        <v>400</v>
      </c>
      <c r="EE60" s="31">
        <v>400</v>
      </c>
      <c r="EF60" s="31">
        <v>400</v>
      </c>
      <c r="EG60" s="31">
        <v>400</v>
      </c>
      <c r="EH60" s="31">
        <v>400</v>
      </c>
      <c r="EI60" s="31">
        <v>400</v>
      </c>
      <c r="EJ60" s="28"/>
    </row>
    <row r="61" spans="1:140" s="32" customFormat="1" ht="22.5" customHeight="1">
      <c r="A61" s="59">
        <v>59</v>
      </c>
      <c r="B61" s="59" t="s">
        <v>1069</v>
      </c>
      <c r="C61" s="51" t="s">
        <v>1242</v>
      </c>
      <c r="D61" s="50">
        <f t="shared" si="11"/>
        <v>2700</v>
      </c>
      <c r="E61" s="80" t="s">
        <v>1243</v>
      </c>
      <c r="F61" s="52" t="s">
        <v>1207</v>
      </c>
      <c r="G61" s="141">
        <f>3500*6+3500*6-1750-3000+3500*6-1750-3000-3000-3000</f>
        <v>47500</v>
      </c>
      <c r="H61" s="52" t="s">
        <v>1244</v>
      </c>
      <c r="I61" s="89">
        <f>400+400+400+400+400-180+400*6-135+400*6-60-75-255-400-400-400</f>
        <v>4895</v>
      </c>
      <c r="J61" s="52"/>
      <c r="K61" s="8"/>
      <c r="L61" s="29">
        <f t="shared" si="0"/>
        <v>55095</v>
      </c>
      <c r="M61" s="29">
        <f t="shared" ref="M61:M63" si="12">SUM(O61:DS61)</f>
        <v>52395</v>
      </c>
      <c r="N61" s="29">
        <f t="shared" si="6"/>
        <v>2700</v>
      </c>
      <c r="O61" s="29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>
        <v>3500</v>
      </c>
      <c r="AI61" s="31">
        <v>3500</v>
      </c>
      <c r="AJ61" s="31">
        <v>3500</v>
      </c>
      <c r="AK61" s="31">
        <f>3500/2</f>
        <v>1750</v>
      </c>
      <c r="AL61" s="31">
        <v>3500</v>
      </c>
      <c r="AM61" s="31">
        <f>3500-3000</f>
        <v>500</v>
      </c>
      <c r="AN61" s="31">
        <v>3500</v>
      </c>
      <c r="AO61" s="31">
        <v>3500</v>
      </c>
      <c r="AP61" s="31">
        <v>3500</v>
      </c>
      <c r="AQ61" s="31">
        <f>3500-1750</f>
        <v>1750</v>
      </c>
      <c r="AR61" s="31">
        <f>3500-3000</f>
        <v>500</v>
      </c>
      <c r="AS61" s="31">
        <f>3500-3000</f>
        <v>500</v>
      </c>
      <c r="AT61" s="31">
        <f>3500-3000</f>
        <v>500</v>
      </c>
      <c r="AU61" s="31">
        <v>3500</v>
      </c>
      <c r="AV61" s="31">
        <v>3500</v>
      </c>
      <c r="AW61" s="31">
        <v>3500</v>
      </c>
      <c r="AX61" s="31">
        <v>3500</v>
      </c>
      <c r="AY61" s="31">
        <v>3500</v>
      </c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9"/>
      <c r="BM61" s="31"/>
      <c r="BN61" s="31"/>
      <c r="BO61" s="31"/>
      <c r="BP61" s="31"/>
      <c r="BQ61" s="31"/>
      <c r="BR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>
        <v>400</v>
      </c>
      <c r="CG61" s="31">
        <v>400</v>
      </c>
      <c r="CH61" s="31">
        <v>400</v>
      </c>
      <c r="CI61" s="31">
        <f>400-180</f>
        <v>220</v>
      </c>
      <c r="CJ61" s="31">
        <f>400-135</f>
        <v>265</v>
      </c>
      <c r="CK61" s="31"/>
      <c r="CL61" s="31">
        <v>400</v>
      </c>
      <c r="CM61" s="31">
        <f>400-60</f>
        <v>340</v>
      </c>
      <c r="CN61" s="31">
        <f>400-75</f>
        <v>325</v>
      </c>
      <c r="CO61" s="31">
        <f>400-255</f>
        <v>145</v>
      </c>
      <c r="CP61" s="31">
        <f>400-400</f>
        <v>0</v>
      </c>
      <c r="CQ61" s="31">
        <f>400-400</f>
        <v>0</v>
      </c>
      <c r="CR61" s="31">
        <f>400-400</f>
        <v>0</v>
      </c>
      <c r="CS61" s="31">
        <v>400</v>
      </c>
      <c r="CT61" s="31">
        <v>400</v>
      </c>
      <c r="CU61" s="31">
        <v>400</v>
      </c>
      <c r="CV61" s="31">
        <v>400</v>
      </c>
      <c r="CW61" s="31">
        <v>400</v>
      </c>
      <c r="CX61" s="180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182"/>
      <c r="DM61" s="182"/>
      <c r="DN61" s="182"/>
      <c r="DO61" s="182"/>
      <c r="DP61" s="182"/>
      <c r="DQ61" s="182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28"/>
    </row>
    <row r="62" spans="1:140" s="32" customFormat="1" ht="22.5" customHeight="1">
      <c r="A62" s="59">
        <v>60</v>
      </c>
      <c r="B62" s="59" t="s">
        <v>1069</v>
      </c>
      <c r="C62" s="51" t="s">
        <v>1245</v>
      </c>
      <c r="D62" s="50">
        <f t="shared" si="11"/>
        <v>2700</v>
      </c>
      <c r="E62" s="80" t="s">
        <v>1246</v>
      </c>
      <c r="F62" s="52" t="s">
        <v>1207</v>
      </c>
      <c r="G62" s="141">
        <f>3500*6-1750+3500*6-1750+3500*6</f>
        <v>59500</v>
      </c>
      <c r="H62" s="52" t="s">
        <v>1247</v>
      </c>
      <c r="I62" s="89">
        <f>400+400+400*4-165+400-105-150+400*5-180+400*6-120-45-90</f>
        <v>6345</v>
      </c>
      <c r="J62" s="52"/>
      <c r="K62" s="8"/>
      <c r="L62" s="29">
        <f t="shared" si="0"/>
        <v>68545</v>
      </c>
      <c r="M62" s="29">
        <f t="shared" si="12"/>
        <v>65845</v>
      </c>
      <c r="N62" s="29">
        <f t="shared" si="6"/>
        <v>2700</v>
      </c>
      <c r="O62" s="29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>
        <v>3500</v>
      </c>
      <c r="AI62" s="31">
        <f>3500/2</f>
        <v>1750</v>
      </c>
      <c r="AJ62" s="31">
        <v>3500</v>
      </c>
      <c r="AK62" s="31">
        <v>3500</v>
      </c>
      <c r="AL62" s="31">
        <v>3500</v>
      </c>
      <c r="AM62" s="31">
        <f>3500/2</f>
        <v>1750</v>
      </c>
      <c r="AN62" s="31">
        <v>3500</v>
      </c>
      <c r="AO62" s="31">
        <v>3500</v>
      </c>
      <c r="AP62" s="31">
        <v>3500</v>
      </c>
      <c r="AQ62" s="31">
        <v>3500</v>
      </c>
      <c r="AR62" s="31">
        <v>3500</v>
      </c>
      <c r="AS62" s="31">
        <v>3500</v>
      </c>
      <c r="AT62" s="31">
        <v>3500</v>
      </c>
      <c r="AU62" s="31">
        <v>3500</v>
      </c>
      <c r="AV62" s="31">
        <v>3500</v>
      </c>
      <c r="AW62" s="31">
        <v>3500</v>
      </c>
      <c r="AX62" s="31">
        <v>3500</v>
      </c>
      <c r="AY62" s="31">
        <v>3500</v>
      </c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9"/>
      <c r="BM62" s="31"/>
      <c r="BN62" s="31"/>
      <c r="BO62" s="31"/>
      <c r="BP62" s="31"/>
      <c r="BQ62" s="31"/>
      <c r="BR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>
        <v>400</v>
      </c>
      <c r="CG62" s="31">
        <f>400-165</f>
        <v>235</v>
      </c>
      <c r="CH62" s="31">
        <f>400-105</f>
        <v>295</v>
      </c>
      <c r="CI62" s="31">
        <v>400</v>
      </c>
      <c r="CJ62" s="31">
        <f>400-150</f>
        <v>250</v>
      </c>
      <c r="CK62" s="31">
        <f>400-180</f>
        <v>220</v>
      </c>
      <c r="CL62" s="31">
        <v>400</v>
      </c>
      <c r="CM62" s="31">
        <v>400</v>
      </c>
      <c r="CN62" s="31">
        <f>400-45</f>
        <v>355</v>
      </c>
      <c r="CO62" s="31">
        <f>400-90</f>
        <v>310</v>
      </c>
      <c r="CP62" s="31">
        <f>400-120</f>
        <v>280</v>
      </c>
      <c r="CQ62" s="31">
        <v>400</v>
      </c>
      <c r="CR62" s="31">
        <v>400</v>
      </c>
      <c r="CS62" s="31">
        <v>400</v>
      </c>
      <c r="CT62" s="31">
        <v>400</v>
      </c>
      <c r="CU62" s="31">
        <v>400</v>
      </c>
      <c r="CV62" s="31">
        <v>400</v>
      </c>
      <c r="CW62" s="31">
        <v>400</v>
      </c>
      <c r="CX62" s="180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182"/>
      <c r="DM62" s="182"/>
      <c r="DN62" s="182"/>
      <c r="DO62" s="182"/>
      <c r="DP62" s="182"/>
      <c r="DQ62" s="182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28"/>
    </row>
    <row r="63" spans="1:140" s="32" customFormat="1" ht="22.5" customHeight="1">
      <c r="A63" s="59">
        <v>61</v>
      </c>
      <c r="B63" s="59" t="s">
        <v>1069</v>
      </c>
      <c r="C63" s="51" t="s">
        <v>1248</v>
      </c>
      <c r="D63" s="50">
        <f t="shared" si="11"/>
        <v>2700</v>
      </c>
      <c r="E63" s="80" t="s">
        <v>1249</v>
      </c>
      <c r="F63" s="52" t="s">
        <v>1247</v>
      </c>
      <c r="G63" s="141">
        <f>2500*6+2500*6+2500*6-1250-1250</f>
        <v>42500</v>
      </c>
      <c r="H63" s="52" t="s">
        <v>1250</v>
      </c>
      <c r="I63" s="89">
        <f>400*6+400-45+400+400*2+400*7+205-135</f>
        <v>6825</v>
      </c>
      <c r="J63" s="52"/>
      <c r="K63" s="8"/>
      <c r="L63" s="29">
        <f t="shared" si="0"/>
        <v>52025</v>
      </c>
      <c r="M63" s="29">
        <f t="shared" si="12"/>
        <v>49325</v>
      </c>
      <c r="N63" s="29">
        <f t="shared" si="6"/>
        <v>2700</v>
      </c>
      <c r="O63" s="29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>
        <v>2500</v>
      </c>
      <c r="AI63" s="31">
        <v>2500</v>
      </c>
      <c r="AJ63" s="31">
        <v>2500</v>
      </c>
      <c r="AK63" s="31">
        <v>2500</v>
      </c>
      <c r="AL63" s="31">
        <v>2500</v>
      </c>
      <c r="AM63" s="31">
        <v>2500</v>
      </c>
      <c r="AN63" s="31">
        <v>2500</v>
      </c>
      <c r="AO63" s="31">
        <v>2500</v>
      </c>
      <c r="AP63" s="31">
        <v>2500</v>
      </c>
      <c r="AQ63" s="31">
        <v>2500</v>
      </c>
      <c r="AR63" s="31">
        <f>2500/2</f>
        <v>1250</v>
      </c>
      <c r="AS63" s="31">
        <f>2500/2</f>
        <v>1250</v>
      </c>
      <c r="AT63" s="31">
        <v>2500</v>
      </c>
      <c r="AU63" s="31">
        <v>2500</v>
      </c>
      <c r="AV63" s="31">
        <v>2500</v>
      </c>
      <c r="AW63" s="31">
        <v>2500</v>
      </c>
      <c r="AX63" s="31">
        <v>2500</v>
      </c>
      <c r="AY63" s="31">
        <v>2500</v>
      </c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9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>
        <v>400</v>
      </c>
      <c r="CG63" s="31">
        <v>400</v>
      </c>
      <c r="CH63" s="31">
        <v>400</v>
      </c>
      <c r="CI63" s="31">
        <f>400-45</f>
        <v>355</v>
      </c>
      <c r="CJ63" s="31">
        <v>400</v>
      </c>
      <c r="CK63" s="31">
        <v>400</v>
      </c>
      <c r="CL63" s="31">
        <v>400</v>
      </c>
      <c r="CM63" s="31">
        <v>400</v>
      </c>
      <c r="CN63" s="31">
        <v>400</v>
      </c>
      <c r="CO63" s="31">
        <v>400</v>
      </c>
      <c r="CP63" s="31">
        <f>400-195</f>
        <v>205</v>
      </c>
      <c r="CQ63" s="31">
        <f>400-135</f>
        <v>265</v>
      </c>
      <c r="CR63" s="31">
        <v>400</v>
      </c>
      <c r="CS63" s="31">
        <v>400</v>
      </c>
      <c r="CT63" s="31">
        <v>400</v>
      </c>
      <c r="CU63" s="31">
        <v>400</v>
      </c>
      <c r="CV63" s="31">
        <v>400</v>
      </c>
      <c r="CW63" s="31">
        <v>400</v>
      </c>
      <c r="CX63" s="180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182"/>
      <c r="DM63" s="182"/>
      <c r="DN63" s="182"/>
      <c r="DO63" s="182"/>
      <c r="DP63" s="182"/>
      <c r="DQ63" s="182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28"/>
    </row>
    <row r="64" spans="1:140" s="32" customFormat="1" ht="22.5" customHeight="1">
      <c r="A64" s="59">
        <v>62</v>
      </c>
      <c r="B64" s="59" t="s">
        <v>1069</v>
      </c>
      <c r="C64" s="51" t="s">
        <v>1251</v>
      </c>
      <c r="D64" s="50">
        <f>1200+300+600</f>
        <v>2100</v>
      </c>
      <c r="E64" s="80" t="s">
        <v>1252</v>
      </c>
      <c r="F64" s="52" t="s">
        <v>1253</v>
      </c>
      <c r="G64" s="141">
        <f>2500*6+2500*6-1250</f>
        <v>28750</v>
      </c>
      <c r="H64" s="52" t="s">
        <v>1254</v>
      </c>
      <c r="I64" s="89">
        <f>400*5+400-180+400*2+400+400+400</f>
        <v>4220</v>
      </c>
      <c r="J64" s="52"/>
      <c r="K64" s="8"/>
      <c r="L64" s="29">
        <f t="shared" si="0"/>
        <v>35070</v>
      </c>
      <c r="M64" s="29">
        <f>SUM(O64:EI64)</f>
        <v>32970</v>
      </c>
      <c r="N64" s="29">
        <f t="shared" si="6"/>
        <v>2100</v>
      </c>
      <c r="O64" s="29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>
        <f>2500-2000</f>
        <v>500</v>
      </c>
      <c r="AI64" s="31">
        <f>2500/2</f>
        <v>1250</v>
      </c>
      <c r="AJ64" s="31">
        <v>2500</v>
      </c>
      <c r="AK64" s="31">
        <v>2500</v>
      </c>
      <c r="AL64" s="31">
        <v>2500</v>
      </c>
      <c r="AM64" s="31">
        <v>2500</v>
      </c>
      <c r="AN64" s="31">
        <v>2500</v>
      </c>
      <c r="AO64" s="31">
        <v>2500</v>
      </c>
      <c r="AP64" s="31">
        <v>2500</v>
      </c>
      <c r="AQ64" s="31">
        <v>2500</v>
      </c>
      <c r="AR64" s="31">
        <v>2500</v>
      </c>
      <c r="AS64" s="31">
        <v>2500</v>
      </c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9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>
        <f>400-180</f>
        <v>220</v>
      </c>
      <c r="CH64" s="31">
        <v>400</v>
      </c>
      <c r="CI64" s="31">
        <v>400</v>
      </c>
      <c r="CJ64" s="31">
        <v>400</v>
      </c>
      <c r="CK64" s="31">
        <v>400</v>
      </c>
      <c r="CL64" s="31">
        <v>400</v>
      </c>
      <c r="CM64" s="31">
        <v>400</v>
      </c>
      <c r="CN64" s="31">
        <v>400</v>
      </c>
      <c r="CO64" s="31">
        <v>400</v>
      </c>
      <c r="CP64" s="31">
        <v>400</v>
      </c>
      <c r="CQ64" s="31"/>
      <c r="CR64" s="31"/>
      <c r="CS64" s="31"/>
      <c r="CT64" s="31"/>
      <c r="CU64" s="31"/>
      <c r="CV64" s="31"/>
      <c r="CW64" s="31"/>
      <c r="CX64" s="180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182"/>
      <c r="DM64" s="182"/>
      <c r="DN64" s="182"/>
      <c r="DO64" s="182"/>
      <c r="DP64" s="182"/>
      <c r="DQ64" s="182"/>
      <c r="DR64" s="31"/>
      <c r="DS64" s="31"/>
      <c r="DT64" s="31"/>
      <c r="DU64" s="31"/>
      <c r="DV64" s="31"/>
      <c r="DW64" s="31"/>
      <c r="DX64" s="31">
        <v>400</v>
      </c>
      <c r="DY64" s="31">
        <v>400</v>
      </c>
      <c r="DZ64" s="31">
        <v>400</v>
      </c>
      <c r="EA64" s="31">
        <v>400</v>
      </c>
      <c r="EB64" s="31">
        <v>400</v>
      </c>
      <c r="EC64" s="31">
        <v>400</v>
      </c>
      <c r="ED64" s="31"/>
      <c r="EE64" s="31"/>
      <c r="EF64" s="31"/>
      <c r="EG64" s="31"/>
      <c r="EH64" s="31"/>
      <c r="EI64" s="31"/>
      <c r="EJ64" s="28"/>
    </row>
    <row r="65" spans="1:140" s="32" customFormat="1" ht="22.5" customHeight="1">
      <c r="A65" s="59">
        <v>63</v>
      </c>
      <c r="B65" s="59" t="s">
        <v>1069</v>
      </c>
      <c r="C65" s="51" t="s">
        <v>1255</v>
      </c>
      <c r="D65" s="50">
        <f>1200+300+600+600</f>
        <v>2700</v>
      </c>
      <c r="E65" s="80" t="s">
        <v>1256</v>
      </c>
      <c r="F65" s="52" t="s">
        <v>1247</v>
      </c>
      <c r="G65" s="141">
        <f>2500*6+2500*6-1250+2500*6-1250</f>
        <v>42500</v>
      </c>
      <c r="H65" s="52" t="s">
        <v>1247</v>
      </c>
      <c r="I65" s="89">
        <f>400+400+400*4-150+400-45-120+400-180+400*3+400*7-255</f>
        <v>6450</v>
      </c>
      <c r="J65" s="52"/>
      <c r="K65" s="8"/>
      <c r="L65" s="29">
        <f t="shared" si="0"/>
        <v>51650</v>
      </c>
      <c r="M65" s="29">
        <f>SUM(O65:EI65)</f>
        <v>48950</v>
      </c>
      <c r="N65" s="29">
        <f t="shared" si="6"/>
        <v>2700</v>
      </c>
      <c r="O65" s="29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>
        <v>2500</v>
      </c>
      <c r="AI65" s="31">
        <v>2500</v>
      </c>
      <c r="AJ65" s="31">
        <v>2500</v>
      </c>
      <c r="AK65" s="31">
        <v>2500</v>
      </c>
      <c r="AL65" s="31">
        <v>2500</v>
      </c>
      <c r="AM65" s="31">
        <f>2500/2</f>
        <v>1250</v>
      </c>
      <c r="AN65" s="31">
        <v>2500</v>
      </c>
      <c r="AO65" s="31">
        <v>2500</v>
      </c>
      <c r="AP65" s="31">
        <v>2500</v>
      </c>
      <c r="AQ65" s="31">
        <v>2500</v>
      </c>
      <c r="AR65" s="31">
        <f>2500/2</f>
        <v>1250</v>
      </c>
      <c r="AS65" s="31">
        <v>2500</v>
      </c>
      <c r="AT65" s="31">
        <v>2500</v>
      </c>
      <c r="AU65" s="31">
        <v>2500</v>
      </c>
      <c r="AV65" s="31">
        <v>2500</v>
      </c>
      <c r="AW65" s="31">
        <v>2500</v>
      </c>
      <c r="AX65" s="31">
        <v>2500</v>
      </c>
      <c r="AY65" s="31">
        <v>2500</v>
      </c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9"/>
      <c r="BM65" s="31"/>
      <c r="BN65" s="31"/>
      <c r="BO65" s="31"/>
      <c r="BP65" s="31"/>
      <c r="BQ65" s="31"/>
      <c r="BR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>
        <f>400-150</f>
        <v>250</v>
      </c>
      <c r="CG65" s="31">
        <v>400</v>
      </c>
      <c r="CH65" s="31">
        <v>400</v>
      </c>
      <c r="CI65" s="31">
        <f>400-45</f>
        <v>355</v>
      </c>
      <c r="CJ65" s="31">
        <f>400-120</f>
        <v>280</v>
      </c>
      <c r="CK65" s="31">
        <f>400-180</f>
        <v>220</v>
      </c>
      <c r="CL65" s="31">
        <v>400</v>
      </c>
      <c r="CM65" s="31">
        <v>400</v>
      </c>
      <c r="CN65" s="31">
        <v>400</v>
      </c>
      <c r="CO65" s="31">
        <v>400</v>
      </c>
      <c r="CP65" s="31">
        <f>400-255</f>
        <v>145</v>
      </c>
      <c r="CQ65" s="31">
        <v>400</v>
      </c>
      <c r="CR65" s="31">
        <v>400</v>
      </c>
      <c r="CS65" s="31">
        <v>400</v>
      </c>
      <c r="CT65" s="31">
        <v>400</v>
      </c>
      <c r="CU65" s="31">
        <v>400</v>
      </c>
      <c r="CV65" s="31">
        <v>400</v>
      </c>
      <c r="CW65" s="31">
        <v>400</v>
      </c>
      <c r="CX65" s="180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182"/>
      <c r="DM65" s="182"/>
      <c r="DN65" s="182"/>
      <c r="DO65" s="182"/>
      <c r="DP65" s="182"/>
      <c r="DQ65" s="182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28"/>
    </row>
    <row r="66" spans="1:140" s="32" customFormat="1" ht="22.5" customHeight="1">
      <c r="A66" s="59">
        <v>64</v>
      </c>
      <c r="B66" s="59" t="s">
        <v>1069</v>
      </c>
      <c r="C66" s="51" t="s">
        <v>1257</v>
      </c>
      <c r="D66" s="50">
        <f>1200+300+600+600</f>
        <v>2700</v>
      </c>
      <c r="E66" s="80" t="s">
        <v>1258</v>
      </c>
      <c r="F66" s="52" t="s">
        <v>1232</v>
      </c>
      <c r="G66" s="141">
        <f>3500*11+3500*6</f>
        <v>59500</v>
      </c>
      <c r="H66" s="52" t="s">
        <v>1232</v>
      </c>
      <c r="I66" s="89">
        <f>400+400+400+400+400*7-45+400*6-45-90-90</f>
        <v>6530</v>
      </c>
      <c r="J66" s="52"/>
      <c r="K66" s="8"/>
      <c r="L66" s="29">
        <f t="shared" si="0"/>
        <v>68730</v>
      </c>
      <c r="M66" s="29">
        <f t="shared" ref="M66:M72" si="13">SUM(O66:EI66)</f>
        <v>66030</v>
      </c>
      <c r="N66" s="29">
        <f t="shared" si="6"/>
        <v>2700</v>
      </c>
      <c r="O66" s="29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>
        <v>3500</v>
      </c>
      <c r="AJ66" s="31">
        <v>3500</v>
      </c>
      <c r="AK66" s="31">
        <v>3500</v>
      </c>
      <c r="AL66" s="31">
        <v>3500</v>
      </c>
      <c r="AM66" s="31">
        <v>3500</v>
      </c>
      <c r="AN66" s="31">
        <v>3500</v>
      </c>
      <c r="AO66" s="31">
        <v>3500</v>
      </c>
      <c r="AP66" s="31">
        <v>3500</v>
      </c>
      <c r="AQ66" s="31">
        <v>3500</v>
      </c>
      <c r="AR66" s="31">
        <v>3500</v>
      </c>
      <c r="AS66" s="31">
        <v>3500</v>
      </c>
      <c r="AT66" s="31">
        <v>3500</v>
      </c>
      <c r="AU66" s="31">
        <v>3500</v>
      </c>
      <c r="AV66" s="31">
        <v>3500</v>
      </c>
      <c r="AW66" s="31">
        <v>3500</v>
      </c>
      <c r="AX66" s="31">
        <v>3500</v>
      </c>
      <c r="AY66" s="31">
        <v>3500</v>
      </c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9"/>
      <c r="BM66" s="31"/>
      <c r="BN66" s="31"/>
      <c r="BO66" s="31"/>
      <c r="BP66" s="31"/>
      <c r="BQ66" s="31"/>
      <c r="BR66" s="31"/>
      <c r="BS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>
        <v>400</v>
      </c>
      <c r="CH66" s="31">
        <v>400</v>
      </c>
      <c r="CI66" s="31">
        <v>400</v>
      </c>
      <c r="CJ66" s="31">
        <f>400-45</f>
        <v>355</v>
      </c>
      <c r="CK66" s="31">
        <v>400</v>
      </c>
      <c r="CL66" s="31">
        <v>400</v>
      </c>
      <c r="CM66" s="31">
        <f>400-45</f>
        <v>355</v>
      </c>
      <c r="CN66" s="31">
        <v>400</v>
      </c>
      <c r="CO66" s="31">
        <f>400-90</f>
        <v>310</v>
      </c>
      <c r="CP66" s="31">
        <f>400-90</f>
        <v>310</v>
      </c>
      <c r="CQ66" s="31">
        <v>400</v>
      </c>
      <c r="CR66" s="31">
        <v>400</v>
      </c>
      <c r="CS66" s="31">
        <v>400</v>
      </c>
      <c r="CT66" s="31">
        <v>400</v>
      </c>
      <c r="CU66" s="31">
        <v>400</v>
      </c>
      <c r="CV66" s="31">
        <v>400</v>
      </c>
      <c r="CW66" s="31">
        <v>400</v>
      </c>
      <c r="CX66" s="180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182"/>
      <c r="DM66" s="182"/>
      <c r="DN66" s="182"/>
      <c r="DO66" s="182"/>
      <c r="DP66" s="182"/>
      <c r="DQ66" s="182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28"/>
    </row>
    <row r="67" spans="1:140" s="32" customFormat="1" ht="22.5" customHeight="1">
      <c r="A67" s="59">
        <v>65</v>
      </c>
      <c r="B67" s="59" t="s">
        <v>1069</v>
      </c>
      <c r="C67" s="51" t="s">
        <v>1259</v>
      </c>
      <c r="D67" s="50">
        <f>1200+600+600</f>
        <v>2400</v>
      </c>
      <c r="E67" s="80" t="s">
        <v>1260</v>
      </c>
      <c r="F67" s="52" t="s">
        <v>1232</v>
      </c>
      <c r="G67" s="141">
        <f>5000*11*0.85-2125-2125+5000*6*0.85</f>
        <v>68000</v>
      </c>
      <c r="H67" s="52" t="s">
        <v>1232</v>
      </c>
      <c r="I67" s="89">
        <f>400*5+400*5-75-135-165+400+400*6-45-120</f>
        <v>6260</v>
      </c>
      <c r="J67" s="52"/>
      <c r="K67" s="8"/>
      <c r="L67" s="29">
        <f t="shared" ref="L67:L68" si="14">D67+G67+I67+K67</f>
        <v>76660</v>
      </c>
      <c r="M67" s="29">
        <f t="shared" si="13"/>
        <v>74260</v>
      </c>
      <c r="N67" s="29">
        <f t="shared" si="6"/>
        <v>2400</v>
      </c>
      <c r="O67" s="29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>
        <f>5000*0.85</f>
        <v>4250</v>
      </c>
      <c r="AJ67" s="31">
        <f>5000*0.85</f>
        <v>4250</v>
      </c>
      <c r="AK67" s="31">
        <f>5000*0.85/2</f>
        <v>2125</v>
      </c>
      <c r="AL67" s="31">
        <f>5000*0.85</f>
        <v>4250</v>
      </c>
      <c r="AM67" s="31">
        <f>5000*0.85/2</f>
        <v>2125</v>
      </c>
      <c r="AN67" s="31">
        <f t="shared" ref="AN67:AY67" si="15">5000*0.85</f>
        <v>4250</v>
      </c>
      <c r="AO67" s="31">
        <f t="shared" si="15"/>
        <v>4250</v>
      </c>
      <c r="AP67" s="31">
        <f t="shared" si="15"/>
        <v>4250</v>
      </c>
      <c r="AQ67" s="31">
        <f t="shared" si="15"/>
        <v>4250</v>
      </c>
      <c r="AR67" s="31">
        <f t="shared" si="15"/>
        <v>4250</v>
      </c>
      <c r="AS67" s="31">
        <f t="shared" si="15"/>
        <v>4250</v>
      </c>
      <c r="AT67" s="31">
        <f t="shared" si="15"/>
        <v>4250</v>
      </c>
      <c r="AU67" s="31">
        <f t="shared" si="15"/>
        <v>4250</v>
      </c>
      <c r="AV67" s="31">
        <f t="shared" si="15"/>
        <v>4250</v>
      </c>
      <c r="AW67" s="31">
        <f t="shared" si="15"/>
        <v>4250</v>
      </c>
      <c r="AX67" s="31">
        <f t="shared" si="15"/>
        <v>4250</v>
      </c>
      <c r="AY67" s="31">
        <f t="shared" si="15"/>
        <v>4250</v>
      </c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9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>
        <v>400</v>
      </c>
      <c r="CH67" s="31">
        <f>400-75</f>
        <v>325</v>
      </c>
      <c r="CI67" s="31">
        <f>400-135</f>
        <v>265</v>
      </c>
      <c r="CJ67" s="31">
        <v>400</v>
      </c>
      <c r="CK67" s="31">
        <f>400-165</f>
        <v>235</v>
      </c>
      <c r="CL67" s="31">
        <f>400-45</f>
        <v>355</v>
      </c>
      <c r="CM67" s="31">
        <v>400</v>
      </c>
      <c r="CN67" s="31">
        <v>400</v>
      </c>
      <c r="CO67" s="31">
        <v>400</v>
      </c>
      <c r="CP67" s="31">
        <f>400-120</f>
        <v>280</v>
      </c>
      <c r="CQ67" s="31">
        <v>400</v>
      </c>
      <c r="CR67" s="31">
        <v>400</v>
      </c>
      <c r="CS67" s="31">
        <v>400</v>
      </c>
      <c r="CT67" s="31">
        <v>400</v>
      </c>
      <c r="CU67" s="31">
        <v>400</v>
      </c>
      <c r="CV67" s="31">
        <v>400</v>
      </c>
      <c r="CW67" s="31">
        <v>400</v>
      </c>
      <c r="CX67" s="180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182"/>
      <c r="DM67" s="182"/>
      <c r="DN67" s="182"/>
      <c r="DO67" s="182"/>
      <c r="DP67" s="182"/>
      <c r="DQ67" s="182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28"/>
    </row>
    <row r="68" spans="1:140" s="32" customFormat="1" ht="22.5" customHeight="1">
      <c r="A68" s="59">
        <v>66</v>
      </c>
      <c r="B68" s="59" t="s">
        <v>1069</v>
      </c>
      <c r="C68" s="51" t="s">
        <v>1261</v>
      </c>
      <c r="D68" s="50">
        <f>1200+600+600+600</f>
        <v>3000</v>
      </c>
      <c r="E68" s="80" t="s">
        <v>1262</v>
      </c>
      <c r="F68" s="52" t="s">
        <v>1232</v>
      </c>
      <c r="G68" s="141">
        <f>3800*5*0.8-1520+3800*6*0.8-1520-1520+3800*6*0.8-1520</f>
        <v>45600</v>
      </c>
      <c r="H68" s="52" t="s">
        <v>1232</v>
      </c>
      <c r="I68" s="89">
        <f>400+400+400*3-195+400*2-150-45+400*2+400*2-150+400*6-60-90</f>
        <v>6110</v>
      </c>
      <c r="J68" s="52"/>
      <c r="K68" s="8"/>
      <c r="L68" s="29">
        <f t="shared" si="14"/>
        <v>54710</v>
      </c>
      <c r="M68" s="29">
        <f t="shared" si="13"/>
        <v>51710</v>
      </c>
      <c r="N68" s="29">
        <f t="shared" si="6"/>
        <v>3000</v>
      </c>
      <c r="O68" s="29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>
        <f>3800*0.8</f>
        <v>3040</v>
      </c>
      <c r="AJ68" s="31">
        <f>3800*0.8/2</f>
        <v>1520</v>
      </c>
      <c r="AK68" s="31">
        <f>3800*0.8/2</f>
        <v>1520</v>
      </c>
      <c r="AL68" s="31">
        <f>3800*0.8</f>
        <v>3040</v>
      </c>
      <c r="AM68" s="31">
        <f>3800*0.8</f>
        <v>3040</v>
      </c>
      <c r="AN68" s="31">
        <f>3800*0.8</f>
        <v>3040</v>
      </c>
      <c r="AO68" s="31">
        <f>3800*0.8</f>
        <v>3040</v>
      </c>
      <c r="AP68" s="31">
        <f>3800*0.8/2</f>
        <v>1520</v>
      </c>
      <c r="AQ68" s="31">
        <f t="shared" ref="AQ68:AY68" si="16">3800*0.8</f>
        <v>3040</v>
      </c>
      <c r="AR68" s="31">
        <f>3800*0.8</f>
        <v>3040</v>
      </c>
      <c r="AS68" s="31">
        <f>3800*0.8/2</f>
        <v>1520</v>
      </c>
      <c r="AT68" s="31">
        <f t="shared" si="16"/>
        <v>3040</v>
      </c>
      <c r="AU68" s="31">
        <f t="shared" si="16"/>
        <v>3040</v>
      </c>
      <c r="AV68" s="31">
        <f t="shared" si="16"/>
        <v>3040</v>
      </c>
      <c r="AW68" s="31">
        <f t="shared" si="16"/>
        <v>3040</v>
      </c>
      <c r="AX68" s="31">
        <f t="shared" si="16"/>
        <v>3040</v>
      </c>
      <c r="AY68" s="31">
        <f t="shared" si="16"/>
        <v>3040</v>
      </c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9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>
        <v>400</v>
      </c>
      <c r="CH68" s="31">
        <f>400-195</f>
        <v>205</v>
      </c>
      <c r="CI68" s="31">
        <f>400-150</f>
        <v>250</v>
      </c>
      <c r="CJ68" s="31">
        <f>400-45</f>
        <v>355</v>
      </c>
      <c r="CK68" s="31">
        <v>400</v>
      </c>
      <c r="CL68" s="31">
        <v>400</v>
      </c>
      <c r="CM68" s="31">
        <v>400</v>
      </c>
      <c r="CN68" s="31">
        <f>400-150</f>
        <v>250</v>
      </c>
      <c r="CO68" s="31">
        <v>400</v>
      </c>
      <c r="CP68" s="31">
        <f>400-60</f>
        <v>340</v>
      </c>
      <c r="CQ68" s="31">
        <f>400-90</f>
        <v>310</v>
      </c>
      <c r="CR68" s="31">
        <v>400</v>
      </c>
      <c r="CS68" s="31">
        <v>400</v>
      </c>
      <c r="CT68" s="31">
        <v>400</v>
      </c>
      <c r="CU68" s="31">
        <v>400</v>
      </c>
      <c r="CV68" s="31">
        <v>400</v>
      </c>
      <c r="CW68" s="31">
        <v>400</v>
      </c>
      <c r="CX68" s="180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182"/>
      <c r="DM68" s="182"/>
      <c r="DN68" s="182"/>
      <c r="DO68" s="182"/>
      <c r="DP68" s="182"/>
      <c r="DQ68" s="182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28"/>
    </row>
    <row r="69" spans="1:140" s="32" customFormat="1" ht="22.5" customHeight="1">
      <c r="A69" s="59">
        <v>67</v>
      </c>
      <c r="B69" s="59" t="s">
        <v>1069</v>
      </c>
      <c r="C69" s="51" t="s">
        <v>1263</v>
      </c>
      <c r="D69" s="50">
        <f>1200+600+600+600</f>
        <v>3000</v>
      </c>
      <c r="E69" s="80" t="s">
        <v>1264</v>
      </c>
      <c r="F69" s="52" t="s">
        <v>1232</v>
      </c>
      <c r="G69" s="141">
        <f>3800*11*0.85-2730+3800*6*0.85-2730</f>
        <v>49450</v>
      </c>
      <c r="H69" s="52" t="s">
        <v>1265</v>
      </c>
      <c r="I69" s="89">
        <f>400*2+400*2-45+400*6-90-75-45+400*6-60-400</f>
        <v>5685</v>
      </c>
      <c r="J69" s="52"/>
      <c r="K69" s="8"/>
      <c r="L69" s="29">
        <f>D69+G69+I69+K69</f>
        <v>58135</v>
      </c>
      <c r="M69" s="29">
        <f t="shared" si="13"/>
        <v>55135</v>
      </c>
      <c r="N69" s="29">
        <f>L69-M69</f>
        <v>3000</v>
      </c>
      <c r="O69" s="29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>
        <f>3800*0.85</f>
        <v>3230</v>
      </c>
      <c r="AJ69" s="31">
        <f>3800*0.85</f>
        <v>3230</v>
      </c>
      <c r="AK69" s="31">
        <f>3800*0.85</f>
        <v>3230</v>
      </c>
      <c r="AL69" s="31">
        <f>3800*0.85</f>
        <v>3230</v>
      </c>
      <c r="AM69" s="31">
        <f>3800*0.85-2730</f>
        <v>500</v>
      </c>
      <c r="AN69" s="31">
        <f t="shared" ref="AN69:AY69" si="17">3800*0.85</f>
        <v>3230</v>
      </c>
      <c r="AO69" s="31">
        <f t="shared" si="17"/>
        <v>3230</v>
      </c>
      <c r="AP69" s="31">
        <f t="shared" si="17"/>
        <v>3230</v>
      </c>
      <c r="AQ69" s="31">
        <f t="shared" si="17"/>
        <v>3230</v>
      </c>
      <c r="AR69" s="31">
        <f t="shared" si="17"/>
        <v>3230</v>
      </c>
      <c r="AS69" s="31">
        <f>3800*0.85-2730</f>
        <v>500</v>
      </c>
      <c r="AT69" s="31">
        <f t="shared" si="17"/>
        <v>3230</v>
      </c>
      <c r="AU69" s="31">
        <f t="shared" si="17"/>
        <v>3230</v>
      </c>
      <c r="AV69" s="31">
        <f t="shared" si="17"/>
        <v>3230</v>
      </c>
      <c r="AW69" s="31">
        <f t="shared" si="17"/>
        <v>3230</v>
      </c>
      <c r="AX69" s="31">
        <f t="shared" si="17"/>
        <v>3230</v>
      </c>
      <c r="AY69" s="31">
        <f t="shared" si="17"/>
        <v>3230</v>
      </c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9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>
        <f>400-45</f>
        <v>355</v>
      </c>
      <c r="CH69" s="31">
        <f>400-90</f>
        <v>310</v>
      </c>
      <c r="CI69" s="31">
        <f>400-75</f>
        <v>325</v>
      </c>
      <c r="CJ69" s="31">
        <f>400-45</f>
        <v>355</v>
      </c>
      <c r="CK69" s="31"/>
      <c r="CL69" s="31">
        <v>400</v>
      </c>
      <c r="CM69" s="31">
        <f>400-60</f>
        <v>340</v>
      </c>
      <c r="CN69" s="31">
        <v>400</v>
      </c>
      <c r="CO69" s="31">
        <v>400</v>
      </c>
      <c r="CP69" s="31">
        <v>400</v>
      </c>
      <c r="CQ69" s="31">
        <f>400-400</f>
        <v>0</v>
      </c>
      <c r="CR69" s="31">
        <v>400</v>
      </c>
      <c r="CS69" s="31">
        <v>400</v>
      </c>
      <c r="CT69" s="31">
        <v>400</v>
      </c>
      <c r="CU69" s="31">
        <v>400</v>
      </c>
      <c r="CV69" s="31">
        <v>400</v>
      </c>
      <c r="CW69" s="31">
        <v>400</v>
      </c>
      <c r="CX69" s="180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182"/>
      <c r="DM69" s="182"/>
      <c r="DN69" s="182"/>
      <c r="DO69" s="182"/>
      <c r="DP69" s="182"/>
      <c r="DQ69" s="182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28"/>
    </row>
    <row r="70" spans="1:140" s="32" customFormat="1" ht="22.5" customHeight="1">
      <c r="A70" s="59">
        <v>68</v>
      </c>
      <c r="B70" s="59" t="s">
        <v>1069</v>
      </c>
      <c r="C70" s="51" t="s">
        <v>1266</v>
      </c>
      <c r="D70" s="50">
        <f>1200+300+600+600</f>
        <v>2700</v>
      </c>
      <c r="E70" s="80" t="s">
        <v>1267</v>
      </c>
      <c r="F70" s="52" t="s">
        <v>1148</v>
      </c>
      <c r="G70" s="141">
        <f>2500*10+2500*6-2000-1250</f>
        <v>36750</v>
      </c>
      <c r="H70" s="52" t="s">
        <v>1148</v>
      </c>
      <c r="I70" s="89">
        <f>400+400+400-75+400-45+400+400-60-75+400+400-45+400+400*7-400-255</f>
        <v>5445</v>
      </c>
      <c r="J70" s="52" t="s">
        <v>1268</v>
      </c>
      <c r="K70" s="8">
        <v>400</v>
      </c>
      <c r="L70" s="29">
        <f>D70+G70+I70+K70</f>
        <v>45295</v>
      </c>
      <c r="M70" s="29">
        <f t="shared" si="13"/>
        <v>42595</v>
      </c>
      <c r="N70" s="29">
        <f>L70-M70</f>
        <v>2700</v>
      </c>
      <c r="O70" s="29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>
        <v>2500</v>
      </c>
      <c r="AK70" s="31">
        <v>2500</v>
      </c>
      <c r="AL70" s="31">
        <v>2500</v>
      </c>
      <c r="AM70" s="31">
        <v>2500</v>
      </c>
      <c r="AN70" s="31">
        <v>2500</v>
      </c>
      <c r="AO70" s="31">
        <v>2500</v>
      </c>
      <c r="AP70" s="31">
        <v>2500</v>
      </c>
      <c r="AQ70" s="31">
        <f>2500-2000</f>
        <v>500</v>
      </c>
      <c r="AR70" s="31">
        <v>2500</v>
      </c>
      <c r="AS70" s="31">
        <f>2500/2</f>
        <v>1250</v>
      </c>
      <c r="AT70" s="31">
        <v>2500</v>
      </c>
      <c r="AU70" s="31">
        <v>2500</v>
      </c>
      <c r="AV70" s="31">
        <v>2500</v>
      </c>
      <c r="AW70" s="31">
        <v>2500</v>
      </c>
      <c r="AX70" s="31">
        <v>2500</v>
      </c>
      <c r="AY70" s="31">
        <v>2500</v>
      </c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9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>
        <f>400-75</f>
        <v>325</v>
      </c>
      <c r="CI70" s="31">
        <f>400-45</f>
        <v>355</v>
      </c>
      <c r="CJ70" s="31">
        <f>400-60</f>
        <v>340</v>
      </c>
      <c r="CK70" s="31">
        <f>400-75</f>
        <v>325</v>
      </c>
      <c r="CL70" s="31">
        <v>400</v>
      </c>
      <c r="CM70" s="31">
        <f>400-45</f>
        <v>355</v>
      </c>
      <c r="CN70" s="31">
        <v>400</v>
      </c>
      <c r="CO70" s="31">
        <f>400-400</f>
        <v>0</v>
      </c>
      <c r="CP70" s="31">
        <f>400-255</f>
        <v>145</v>
      </c>
      <c r="CQ70" s="31">
        <v>400</v>
      </c>
      <c r="CR70" s="31">
        <v>400</v>
      </c>
      <c r="CS70" s="31">
        <v>400</v>
      </c>
      <c r="CT70" s="31">
        <v>400</v>
      </c>
      <c r="CU70" s="31">
        <v>400</v>
      </c>
      <c r="CV70" s="31">
        <v>400</v>
      </c>
      <c r="CW70" s="31">
        <v>400</v>
      </c>
      <c r="CX70" s="180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182"/>
      <c r="DM70" s="182"/>
      <c r="DN70" s="182"/>
      <c r="DO70" s="182"/>
      <c r="DP70" s="182"/>
      <c r="DQ70" s="182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>
        <v>400</v>
      </c>
      <c r="EH70" s="31"/>
      <c r="EI70" s="31"/>
      <c r="EJ70" s="28"/>
    </row>
    <row r="71" spans="1:140" s="32" customFormat="1" ht="22.5" customHeight="1">
      <c r="A71" s="59">
        <v>69</v>
      </c>
      <c r="B71" s="59" t="s">
        <v>1069</v>
      </c>
      <c r="C71" s="51" t="s">
        <v>1269</v>
      </c>
      <c r="D71" s="50">
        <f>1200+600+600+600</f>
        <v>3000</v>
      </c>
      <c r="E71" s="80" t="s">
        <v>1270</v>
      </c>
      <c r="F71" s="52" t="s">
        <v>1271</v>
      </c>
      <c r="G71" s="141">
        <f>3800*10*0.85+3800*6*0.85-1615-2730</f>
        <v>47335</v>
      </c>
      <c r="H71" s="52" t="s">
        <v>1272</v>
      </c>
      <c r="I71" s="89">
        <f>400+400+400*2+400*2-60+400*2-45+400+400*6-285</f>
        <v>5610</v>
      </c>
      <c r="J71" s="52"/>
      <c r="K71" s="8"/>
      <c r="L71" s="29">
        <f>D71+G71+I71+K71</f>
        <v>55945</v>
      </c>
      <c r="M71" s="29">
        <f t="shared" si="13"/>
        <v>52945</v>
      </c>
      <c r="N71" s="29">
        <f>L71-M71</f>
        <v>3000</v>
      </c>
      <c r="O71" s="29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>
        <f t="shared" ref="AJ71:AY71" si="18">3800*0.85</f>
        <v>3230</v>
      </c>
      <c r="AK71" s="31">
        <f t="shared" si="18"/>
        <v>3230</v>
      </c>
      <c r="AL71" s="31">
        <f t="shared" si="18"/>
        <v>3230</v>
      </c>
      <c r="AM71" s="31">
        <f t="shared" si="18"/>
        <v>3230</v>
      </c>
      <c r="AN71" s="31">
        <f t="shared" si="18"/>
        <v>3230</v>
      </c>
      <c r="AO71" s="31">
        <f t="shared" si="18"/>
        <v>3230</v>
      </c>
      <c r="AP71" s="31">
        <f t="shared" si="18"/>
        <v>3230</v>
      </c>
      <c r="AQ71" s="31">
        <f t="shared" si="18"/>
        <v>3230</v>
      </c>
      <c r="AR71" s="31">
        <f>3800*0.85/2</f>
        <v>1615</v>
      </c>
      <c r="AS71" s="31">
        <f>3800*0.85-2730</f>
        <v>500</v>
      </c>
      <c r="AT71" s="31">
        <f t="shared" si="18"/>
        <v>3230</v>
      </c>
      <c r="AU71" s="31">
        <f t="shared" si="18"/>
        <v>3230</v>
      </c>
      <c r="AV71" s="31">
        <f t="shared" si="18"/>
        <v>3230</v>
      </c>
      <c r="AW71" s="31">
        <f t="shared" si="18"/>
        <v>3230</v>
      </c>
      <c r="AX71" s="31">
        <f t="shared" si="18"/>
        <v>3230</v>
      </c>
      <c r="AY71" s="31">
        <f t="shared" si="18"/>
        <v>3230</v>
      </c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9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>
        <v>400</v>
      </c>
      <c r="CI71" s="31">
        <v>400</v>
      </c>
      <c r="CJ71" s="31">
        <v>400</v>
      </c>
      <c r="CK71" s="31">
        <f>400-60</f>
        <v>340</v>
      </c>
      <c r="CL71" s="31">
        <f>400-45</f>
        <v>355</v>
      </c>
      <c r="CM71" s="31">
        <v>400</v>
      </c>
      <c r="CN71" s="31">
        <v>400</v>
      </c>
      <c r="CO71" s="31">
        <v>400</v>
      </c>
      <c r="CP71" s="31">
        <f>400-285</f>
        <v>115</v>
      </c>
      <c r="CQ71" s="31"/>
      <c r="CR71" s="31">
        <v>400</v>
      </c>
      <c r="CS71" s="31">
        <v>400</v>
      </c>
      <c r="CT71" s="31">
        <v>400</v>
      </c>
      <c r="CU71" s="31">
        <v>400</v>
      </c>
      <c r="CV71" s="31">
        <v>400</v>
      </c>
      <c r="CW71" s="31">
        <v>400</v>
      </c>
      <c r="CX71" s="180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182"/>
      <c r="DM71" s="182"/>
      <c r="DN71" s="182"/>
      <c r="DO71" s="182"/>
      <c r="DP71" s="182"/>
      <c r="DQ71" s="182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28"/>
    </row>
    <row r="72" spans="1:140" s="32" customFormat="1" ht="22.5" customHeight="1">
      <c r="A72" s="59">
        <v>70</v>
      </c>
      <c r="B72" s="59" t="s">
        <v>1069</v>
      </c>
      <c r="C72" s="51" t="s">
        <v>1273</v>
      </c>
      <c r="D72" s="50">
        <f>1200+600+600</f>
        <v>2400</v>
      </c>
      <c r="E72" s="80" t="s">
        <v>1274</v>
      </c>
      <c r="F72" s="52" t="s">
        <v>1275</v>
      </c>
      <c r="G72" s="141">
        <f>1250+2500*9-1250-2000+2500*6-2000-1250-2000-2000-2000</f>
        <v>26250</v>
      </c>
      <c r="H72" s="52" t="s">
        <v>1275</v>
      </c>
      <c r="I72" s="89">
        <f>20*9+400+400-180-400+400*6+400*6-90-75-225-400-400-400</f>
        <v>3610</v>
      </c>
      <c r="J72" s="52"/>
      <c r="K72" s="8"/>
      <c r="L72" s="29">
        <f>D72+G72+I72+K72</f>
        <v>32260</v>
      </c>
      <c r="M72" s="29">
        <f t="shared" si="13"/>
        <v>29860</v>
      </c>
      <c r="N72" s="29">
        <f>L72-M72</f>
        <v>2400</v>
      </c>
      <c r="O72" s="29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>
        <f>2500/2</f>
        <v>1250</v>
      </c>
      <c r="AK72" s="31">
        <f>2500-2000</f>
        <v>500</v>
      </c>
      <c r="AL72" s="31">
        <f>2500/2</f>
        <v>1250</v>
      </c>
      <c r="AM72" s="31">
        <f>2500-2000</f>
        <v>500</v>
      </c>
      <c r="AN72" s="31">
        <v>2500</v>
      </c>
      <c r="AO72" s="31">
        <v>2500</v>
      </c>
      <c r="AP72" s="31">
        <f>2500/2</f>
        <v>1250</v>
      </c>
      <c r="AQ72" s="31">
        <f>2500-2000</f>
        <v>500</v>
      </c>
      <c r="AR72" s="31">
        <f>2500-2000</f>
        <v>500</v>
      </c>
      <c r="AS72" s="31">
        <f>2500-2000</f>
        <v>500</v>
      </c>
      <c r="AT72" s="31">
        <v>2500</v>
      </c>
      <c r="AU72" s="31">
        <v>2500</v>
      </c>
      <c r="AV72" s="31">
        <v>2500</v>
      </c>
      <c r="AW72" s="31">
        <v>2500</v>
      </c>
      <c r="AX72" s="31">
        <v>2500</v>
      </c>
      <c r="AY72" s="31">
        <v>2500</v>
      </c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9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>
        <f>20*9</f>
        <v>180</v>
      </c>
      <c r="CI72" s="31">
        <f>400-400</f>
        <v>0</v>
      </c>
      <c r="CJ72" s="31">
        <f>400-180</f>
        <v>220</v>
      </c>
      <c r="CK72" s="31"/>
      <c r="CL72" s="31">
        <f>400-90</f>
        <v>310</v>
      </c>
      <c r="CM72" s="31">
        <f>400-75</f>
        <v>325</v>
      </c>
      <c r="CN72" s="31">
        <f>400-225</f>
        <v>175</v>
      </c>
      <c r="CO72" s="31">
        <f>400-400</f>
        <v>0</v>
      </c>
      <c r="CP72" s="31">
        <f>400-400</f>
        <v>0</v>
      </c>
      <c r="CQ72" s="31">
        <f>400-400</f>
        <v>0</v>
      </c>
      <c r="CR72" s="31">
        <v>400</v>
      </c>
      <c r="CS72" s="31">
        <v>400</v>
      </c>
      <c r="CT72" s="31">
        <v>400</v>
      </c>
      <c r="CU72" s="31">
        <v>400</v>
      </c>
      <c r="CV72" s="31">
        <v>400</v>
      </c>
      <c r="CW72" s="31">
        <v>400</v>
      </c>
      <c r="CX72" s="180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182"/>
      <c r="DM72" s="182"/>
      <c r="DN72" s="182"/>
      <c r="DO72" s="182"/>
      <c r="DP72" s="182"/>
      <c r="DQ72" s="182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28"/>
    </row>
    <row r="73" spans="1:140" s="32" customFormat="1" ht="21.75" customHeight="1">
      <c r="A73" s="59">
        <v>71</v>
      </c>
      <c r="B73" s="59" t="s">
        <v>1069</v>
      </c>
      <c r="C73" s="51" t="s">
        <v>1276</v>
      </c>
      <c r="D73" s="50">
        <f>1200+600+600</f>
        <v>2400</v>
      </c>
      <c r="E73" s="80" t="s">
        <v>1277</v>
      </c>
      <c r="F73" s="52"/>
      <c r="G73" s="141"/>
      <c r="H73" s="52" t="s">
        <v>1278</v>
      </c>
      <c r="I73" s="89">
        <f>400*2+400+280+400*4+400*6-120-75</f>
        <v>5285</v>
      </c>
      <c r="J73" s="52"/>
      <c r="K73" s="8"/>
      <c r="L73" s="29"/>
      <c r="M73" s="29"/>
      <c r="N73" s="29"/>
      <c r="O73" s="29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9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>
        <v>400</v>
      </c>
      <c r="CK73" s="31">
        <v>400</v>
      </c>
      <c r="CL73" s="31">
        <v>400</v>
      </c>
      <c r="CM73" s="31">
        <f>400-120</f>
        <v>280</v>
      </c>
      <c r="CN73" s="31">
        <f>400-120</f>
        <v>280</v>
      </c>
      <c r="CO73" s="31">
        <f>400-75</f>
        <v>325</v>
      </c>
      <c r="CP73" s="31">
        <v>400</v>
      </c>
      <c r="CQ73" s="31">
        <v>400</v>
      </c>
      <c r="CR73" s="31">
        <v>400</v>
      </c>
      <c r="CS73" s="31">
        <v>400</v>
      </c>
      <c r="CT73" s="31">
        <v>400</v>
      </c>
      <c r="CU73" s="31">
        <v>400</v>
      </c>
      <c r="CV73" s="31">
        <v>400</v>
      </c>
      <c r="CW73" s="31">
        <v>400</v>
      </c>
      <c r="CX73" s="180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182"/>
      <c r="DM73" s="182"/>
      <c r="DN73" s="182"/>
      <c r="DO73" s="182"/>
      <c r="DP73" s="182"/>
      <c r="DQ73" s="182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28"/>
    </row>
    <row r="74" spans="1:140" s="32" customFormat="1" ht="22.5" customHeight="1">
      <c r="A74" s="59">
        <v>72</v>
      </c>
      <c r="B74" s="59" t="s">
        <v>1069</v>
      </c>
      <c r="C74" s="51" t="s">
        <v>1279</v>
      </c>
      <c r="D74" s="50">
        <f>1200+300+150+600</f>
        <v>2250</v>
      </c>
      <c r="E74" s="148" t="s">
        <v>1280</v>
      </c>
      <c r="F74" s="52" t="s">
        <v>1281</v>
      </c>
      <c r="G74" s="141">
        <f>2500*6+2500-2000+2500*6-2000-2000</f>
        <v>26500</v>
      </c>
      <c r="H74" s="52" t="s">
        <v>1281</v>
      </c>
      <c r="I74" s="89">
        <f>400+400*2-75+400*4-60-400+400*6-75-400-400</f>
        <v>3790</v>
      </c>
      <c r="J74" s="52"/>
      <c r="K74" s="8"/>
      <c r="L74" s="29">
        <f t="shared" ref="L74:L110" si="19">D74+G74+I74+K74</f>
        <v>32540</v>
      </c>
      <c r="M74" s="29">
        <f>SUM(O74:DS74)</f>
        <v>30290</v>
      </c>
      <c r="N74" s="29">
        <f t="shared" ref="N74:N106" si="20">L74-M74</f>
        <v>2250</v>
      </c>
      <c r="O74" s="29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>
        <v>2500</v>
      </c>
      <c r="AN74" s="31">
        <v>2500</v>
      </c>
      <c r="AO74" s="31">
        <f>2500-2000</f>
        <v>500</v>
      </c>
      <c r="AP74" s="31">
        <v>2500</v>
      </c>
      <c r="AQ74" s="31">
        <v>2500</v>
      </c>
      <c r="AR74" s="31">
        <f>2500-2000</f>
        <v>500</v>
      </c>
      <c r="AS74" s="31">
        <f>2500-2000</f>
        <v>500</v>
      </c>
      <c r="AT74" s="31">
        <v>2500</v>
      </c>
      <c r="AU74" s="31">
        <v>2500</v>
      </c>
      <c r="AV74" s="31">
        <v>2500</v>
      </c>
      <c r="AW74" s="31">
        <v>2500</v>
      </c>
      <c r="AX74" s="31">
        <v>2500</v>
      </c>
      <c r="AY74" s="31">
        <v>2500</v>
      </c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9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>
        <f>400-75</f>
        <v>325</v>
      </c>
      <c r="CL74" s="31">
        <f>400-60</f>
        <v>340</v>
      </c>
      <c r="CM74" s="31">
        <f>400-400</f>
        <v>0</v>
      </c>
      <c r="CN74" s="31">
        <v>400</v>
      </c>
      <c r="CO74" s="31">
        <f>400-75</f>
        <v>325</v>
      </c>
      <c r="CP74" s="31">
        <f>400-400</f>
        <v>0</v>
      </c>
      <c r="CQ74" s="31">
        <f>400-400</f>
        <v>0</v>
      </c>
      <c r="CR74" s="31">
        <v>400</v>
      </c>
      <c r="CS74" s="31">
        <v>400</v>
      </c>
      <c r="CT74" s="31">
        <v>400</v>
      </c>
      <c r="CU74" s="31">
        <v>400</v>
      </c>
      <c r="CV74" s="31">
        <v>400</v>
      </c>
      <c r="CW74" s="31">
        <v>400</v>
      </c>
      <c r="CX74" s="180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182"/>
      <c r="DM74" s="182"/>
      <c r="DN74" s="182"/>
      <c r="DO74" s="182"/>
      <c r="DP74" s="182"/>
      <c r="DQ74" s="182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28"/>
    </row>
    <row r="75" spans="1:140" s="32" customFormat="1" ht="22.5" customHeight="1">
      <c r="A75" s="59">
        <v>73</v>
      </c>
      <c r="B75" s="59" t="s">
        <v>1069</v>
      </c>
      <c r="C75" s="51" t="s">
        <v>1282</v>
      </c>
      <c r="D75" s="50">
        <f>1200+600+600</f>
        <v>2400</v>
      </c>
      <c r="E75" s="80" t="s">
        <v>1283</v>
      </c>
      <c r="F75" s="52" t="s">
        <v>1281</v>
      </c>
      <c r="G75" s="141">
        <f>3800*0.85+3800*6*0.85+3800*6*0.85-1615-1615</f>
        <v>38760</v>
      </c>
      <c r="H75" s="52" t="s">
        <v>1281</v>
      </c>
      <c r="I75" s="89">
        <f>400+400+400-60+400-45+400-45+400+400*7-210-135</f>
        <v>4705</v>
      </c>
      <c r="J75" s="52" t="s">
        <v>1284</v>
      </c>
      <c r="K75" s="8">
        <f>400*6</f>
        <v>2400</v>
      </c>
      <c r="L75" s="29">
        <f t="shared" si="19"/>
        <v>48265</v>
      </c>
      <c r="M75" s="29">
        <f>SUM(O75:EC75)</f>
        <v>45865</v>
      </c>
      <c r="N75" s="29">
        <f t="shared" si="20"/>
        <v>2400</v>
      </c>
      <c r="O75" s="29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>
        <f t="shared" ref="AM75:AY76" si="21">3800*0.85</f>
        <v>3230</v>
      </c>
      <c r="AN75" s="31">
        <f t="shared" si="21"/>
        <v>3230</v>
      </c>
      <c r="AO75" s="31">
        <f t="shared" si="21"/>
        <v>3230</v>
      </c>
      <c r="AP75" s="31">
        <f t="shared" si="21"/>
        <v>3230</v>
      </c>
      <c r="AQ75" s="31">
        <f t="shared" si="21"/>
        <v>3230</v>
      </c>
      <c r="AR75" s="31">
        <f>3800*0.85/2</f>
        <v>1615</v>
      </c>
      <c r="AS75" s="31">
        <f>3800*0.85/2</f>
        <v>1615</v>
      </c>
      <c r="AT75" s="31">
        <f t="shared" si="21"/>
        <v>3230</v>
      </c>
      <c r="AU75" s="31">
        <f t="shared" si="21"/>
        <v>3230</v>
      </c>
      <c r="AV75" s="31">
        <f t="shared" si="21"/>
        <v>3230</v>
      </c>
      <c r="AW75" s="31">
        <f t="shared" si="21"/>
        <v>3230</v>
      </c>
      <c r="AX75" s="31">
        <f t="shared" si="21"/>
        <v>3230</v>
      </c>
      <c r="AY75" s="31">
        <f t="shared" si="21"/>
        <v>3230</v>
      </c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9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>
        <f>400-60</f>
        <v>340</v>
      </c>
      <c r="CL75" s="31">
        <f>400-45</f>
        <v>355</v>
      </c>
      <c r="CM75" s="31">
        <f>400-45</f>
        <v>355</v>
      </c>
      <c r="CN75" s="31">
        <v>400</v>
      </c>
      <c r="CO75" s="31">
        <v>400</v>
      </c>
      <c r="CP75" s="31">
        <f>400-210</f>
        <v>190</v>
      </c>
      <c r="CQ75" s="31">
        <f>400-135</f>
        <v>265</v>
      </c>
      <c r="CR75" s="31">
        <v>400</v>
      </c>
      <c r="CS75" s="31">
        <v>400</v>
      </c>
      <c r="CT75" s="31">
        <v>400</v>
      </c>
      <c r="CU75" s="31">
        <v>400</v>
      </c>
      <c r="CV75" s="31">
        <v>400</v>
      </c>
      <c r="CW75" s="31">
        <v>400</v>
      </c>
      <c r="CX75" s="180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182"/>
      <c r="DM75" s="182"/>
      <c r="DN75" s="182"/>
      <c r="DO75" s="182"/>
      <c r="DP75" s="182"/>
      <c r="DQ75" s="182"/>
      <c r="DR75" s="31"/>
      <c r="DS75" s="31"/>
      <c r="DT75" s="31"/>
      <c r="DU75" s="31"/>
      <c r="DV75" s="31"/>
      <c r="DW75" s="31"/>
      <c r="DX75" s="31">
        <v>400</v>
      </c>
      <c r="DY75" s="31">
        <v>400</v>
      </c>
      <c r="DZ75" s="31">
        <v>400</v>
      </c>
      <c r="EA75" s="31">
        <v>400</v>
      </c>
      <c r="EB75" s="31">
        <v>400</v>
      </c>
      <c r="EC75" s="31">
        <v>400</v>
      </c>
      <c r="ED75" s="31"/>
      <c r="EE75" s="31"/>
      <c r="EF75" s="31"/>
      <c r="EG75" s="31"/>
      <c r="EH75" s="31"/>
      <c r="EI75" s="31"/>
      <c r="EJ75" s="28"/>
    </row>
    <row r="76" spans="1:140" s="32" customFormat="1" ht="22.5" customHeight="1">
      <c r="A76" s="59">
        <v>74</v>
      </c>
      <c r="B76" s="59" t="s">
        <v>1069</v>
      </c>
      <c r="C76" s="51" t="s">
        <v>1285</v>
      </c>
      <c r="D76" s="50">
        <f>1200+480+600-480+600</f>
        <v>2400</v>
      </c>
      <c r="E76" s="80" t="s">
        <v>1286</v>
      </c>
      <c r="F76" s="52" t="s">
        <v>1281</v>
      </c>
      <c r="G76" s="141">
        <f>3800*7*0.85+3800*6*0.85-2730-2730-2730</f>
        <v>33800</v>
      </c>
      <c r="H76" s="52" t="s">
        <v>1287</v>
      </c>
      <c r="I76" s="89">
        <f>400+400*2+400*2-150+400*6-400</f>
        <v>3850</v>
      </c>
      <c r="J76" s="52"/>
      <c r="K76" s="8"/>
      <c r="L76" s="29">
        <f t="shared" si="19"/>
        <v>40050</v>
      </c>
      <c r="M76" s="29">
        <f>SUM(O76:EI76)</f>
        <v>37650</v>
      </c>
      <c r="N76" s="29">
        <f t="shared" si="20"/>
        <v>2400</v>
      </c>
      <c r="O76" s="29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>
        <f t="shared" si="21"/>
        <v>3230</v>
      </c>
      <c r="AN76" s="31">
        <f t="shared" si="21"/>
        <v>3230</v>
      </c>
      <c r="AO76" s="31">
        <f t="shared" si="21"/>
        <v>3230</v>
      </c>
      <c r="AP76" s="31">
        <f t="shared" si="21"/>
        <v>3230</v>
      </c>
      <c r="AQ76" s="31">
        <f>3800*0.85-2730</f>
        <v>500</v>
      </c>
      <c r="AR76" s="31">
        <f>3800*0.85-2730</f>
        <v>500</v>
      </c>
      <c r="AS76" s="31">
        <f>3800*0.85-2730</f>
        <v>500</v>
      </c>
      <c r="AT76" s="31">
        <f t="shared" si="21"/>
        <v>3230</v>
      </c>
      <c r="AU76" s="31">
        <f t="shared" si="21"/>
        <v>3230</v>
      </c>
      <c r="AV76" s="31">
        <f t="shared" si="21"/>
        <v>3230</v>
      </c>
      <c r="AW76" s="31">
        <f t="shared" si="21"/>
        <v>3230</v>
      </c>
      <c r="AX76" s="31">
        <f t="shared" si="21"/>
        <v>3230</v>
      </c>
      <c r="AY76" s="31">
        <f t="shared" si="21"/>
        <v>3230</v>
      </c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9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>
        <v>400</v>
      </c>
      <c r="CL76" s="31">
        <f>400-150</f>
        <v>250</v>
      </c>
      <c r="CM76" s="31">
        <v>400</v>
      </c>
      <c r="CN76" s="31">
        <v>400</v>
      </c>
      <c r="CO76" s="31">
        <f>400-400</f>
        <v>0</v>
      </c>
      <c r="CP76" s="31"/>
      <c r="CQ76" s="31"/>
      <c r="CR76" s="31">
        <v>400</v>
      </c>
      <c r="CS76" s="31">
        <v>400</v>
      </c>
      <c r="CT76" s="31">
        <v>400</v>
      </c>
      <c r="CU76" s="31">
        <v>400</v>
      </c>
      <c r="CV76" s="31">
        <v>400</v>
      </c>
      <c r="CW76" s="31">
        <v>400</v>
      </c>
      <c r="CX76" s="180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182"/>
      <c r="DM76" s="182"/>
      <c r="DN76" s="182"/>
      <c r="DO76" s="182"/>
      <c r="DP76" s="182"/>
      <c r="DQ76" s="182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28"/>
    </row>
    <row r="77" spans="1:140" ht="18" customHeight="1">
      <c r="A77" s="59">
        <v>75</v>
      </c>
      <c r="B77" s="59" t="s">
        <v>1069</v>
      </c>
      <c r="C77" s="51" t="s">
        <v>478</v>
      </c>
      <c r="D77" s="50">
        <f>600+1200+600</f>
        <v>2400</v>
      </c>
      <c r="E77" s="79" t="s">
        <v>1288</v>
      </c>
      <c r="F77" s="52" t="s">
        <v>1289</v>
      </c>
      <c r="G77" s="138">
        <f>2000*6+500*6+2500*6-2000-2000-2000</f>
        <v>24000</v>
      </c>
      <c r="H77" s="52" t="s">
        <v>1290</v>
      </c>
      <c r="I77" s="89">
        <f>400+400+400+400*7-45-90-400</f>
        <v>3465</v>
      </c>
      <c r="J77" s="52"/>
      <c r="K77" s="8"/>
      <c r="L77" s="29">
        <f t="shared" si="19"/>
        <v>29865</v>
      </c>
      <c r="M77" s="29">
        <f>SUM(O77:EI77)</f>
        <v>27465</v>
      </c>
      <c r="N77" s="29">
        <f t="shared" si="20"/>
        <v>2400</v>
      </c>
      <c r="O77" s="8"/>
      <c r="P77" s="8"/>
      <c r="Q77" s="8"/>
      <c r="R77" s="8"/>
      <c r="S77" s="8"/>
      <c r="T77" s="8"/>
      <c r="AB77" s="8"/>
      <c r="AC77" s="8"/>
      <c r="AD77" s="29"/>
      <c r="AE77" s="8"/>
      <c r="AF77" s="8"/>
      <c r="AG77" s="8"/>
      <c r="AH77" s="8"/>
      <c r="AI77" s="8"/>
      <c r="AJ77" s="8"/>
      <c r="AK77" s="8"/>
      <c r="AL77" s="8"/>
      <c r="AM77" s="8"/>
      <c r="AN77" s="8">
        <f t="shared" ref="AN77:AY77" si="22">2000+500</f>
        <v>2500</v>
      </c>
      <c r="AO77" s="8">
        <f t="shared" si="22"/>
        <v>2500</v>
      </c>
      <c r="AP77" s="8">
        <f>2000+500-2000</f>
        <v>500</v>
      </c>
      <c r="AQ77" s="8">
        <f>2000+500-2000</f>
        <v>500</v>
      </c>
      <c r="AR77" s="8">
        <f>2000+500-2000</f>
        <v>500</v>
      </c>
      <c r="AS77" s="8">
        <f t="shared" si="22"/>
        <v>2500</v>
      </c>
      <c r="AT77" s="8">
        <f t="shared" si="22"/>
        <v>2500</v>
      </c>
      <c r="AU77" s="8">
        <f t="shared" si="22"/>
        <v>2500</v>
      </c>
      <c r="AV77" s="8">
        <f t="shared" si="22"/>
        <v>2500</v>
      </c>
      <c r="AW77" s="8">
        <f t="shared" si="22"/>
        <v>2500</v>
      </c>
      <c r="AX77" s="8">
        <f t="shared" si="22"/>
        <v>2500</v>
      </c>
      <c r="AY77" s="8">
        <f t="shared" si="22"/>
        <v>2500</v>
      </c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3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29"/>
      <c r="CB77" s="29"/>
      <c r="CC77" s="29"/>
      <c r="CD77" s="8"/>
      <c r="CE77" s="8"/>
      <c r="CF77" s="8"/>
      <c r="CG77" s="8"/>
      <c r="CH77" s="8"/>
      <c r="CI77" s="8"/>
      <c r="CJ77" s="8"/>
      <c r="CK77" s="29"/>
      <c r="CL77" s="29">
        <f>400-45</f>
        <v>355</v>
      </c>
      <c r="CM77" s="29">
        <f>400-90</f>
        <v>310</v>
      </c>
      <c r="CN77" s="31">
        <f>400-400</f>
        <v>0</v>
      </c>
      <c r="CO77" s="8"/>
      <c r="CP77" s="8"/>
      <c r="CQ77" s="8">
        <v>400</v>
      </c>
      <c r="CR77" s="8">
        <v>400</v>
      </c>
      <c r="CS77" s="8">
        <v>400</v>
      </c>
      <c r="CT77" s="8">
        <v>400</v>
      </c>
      <c r="CU77" s="8">
        <v>400</v>
      </c>
      <c r="CV77" s="8">
        <v>400</v>
      </c>
      <c r="CW77" s="8">
        <v>400</v>
      </c>
      <c r="CX77" s="17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179"/>
      <c r="DM77" s="179"/>
      <c r="DN77" s="179"/>
      <c r="DO77" s="179"/>
      <c r="DP77" s="179"/>
      <c r="DQ77" s="31"/>
      <c r="DR77" s="31"/>
      <c r="DS77" s="31"/>
      <c r="DT77" s="31"/>
      <c r="DU77" s="31"/>
      <c r="DV77" s="31"/>
      <c r="DW77" s="8"/>
      <c r="DX77" s="8"/>
      <c r="DY77" s="8"/>
      <c r="DZ77" s="8"/>
      <c r="EA77" s="8"/>
      <c r="EB77" s="8"/>
      <c r="EC77" s="8"/>
      <c r="ED77" s="29"/>
      <c r="EE77" s="8"/>
      <c r="EF77" s="8"/>
      <c r="EG77" s="8"/>
      <c r="EH77" s="8"/>
      <c r="EI77" s="8"/>
      <c r="EJ77" s="23"/>
    </row>
    <row r="78" spans="1:140" s="32" customFormat="1" ht="22.5" customHeight="1">
      <c r="A78" s="59">
        <v>76</v>
      </c>
      <c r="B78" s="59" t="s">
        <v>1069</v>
      </c>
      <c r="C78" s="51" t="s">
        <v>1291</v>
      </c>
      <c r="D78" s="50">
        <f>300+1200+300+600</f>
        <v>2400</v>
      </c>
      <c r="E78" s="80" t="s">
        <v>1292</v>
      </c>
      <c r="F78" s="52" t="s">
        <v>1289</v>
      </c>
      <c r="G78" s="141">
        <f>2375*12</f>
        <v>28500</v>
      </c>
      <c r="H78" s="52" t="s">
        <v>1289</v>
      </c>
      <c r="I78" s="89">
        <f>400*6+400*6-45</f>
        <v>4755</v>
      </c>
      <c r="J78" s="52" t="s">
        <v>1289</v>
      </c>
      <c r="K78" s="8">
        <f>200*6+200*6+400*6</f>
        <v>4800</v>
      </c>
      <c r="L78" s="29">
        <f t="shared" si="19"/>
        <v>40455</v>
      </c>
      <c r="M78" s="29">
        <f>SUM(O78:EI78)</f>
        <v>38055</v>
      </c>
      <c r="N78" s="29">
        <f t="shared" si="20"/>
        <v>2400</v>
      </c>
      <c r="O78" s="29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L78" s="28"/>
      <c r="AM78" s="28"/>
      <c r="AN78" s="31">
        <v>2375</v>
      </c>
      <c r="AO78" s="31">
        <v>2375</v>
      </c>
      <c r="AP78" s="31">
        <v>2375</v>
      </c>
      <c r="AQ78" s="31">
        <v>2375</v>
      </c>
      <c r="AR78" s="31">
        <v>2375</v>
      </c>
      <c r="AS78" s="31">
        <v>2375</v>
      </c>
      <c r="AT78" s="31">
        <v>2375</v>
      </c>
      <c r="AU78" s="31">
        <v>2375</v>
      </c>
      <c r="AV78" s="31">
        <v>2375</v>
      </c>
      <c r="AW78" s="31">
        <v>2375</v>
      </c>
      <c r="AX78" s="31">
        <v>2375</v>
      </c>
      <c r="AY78" s="31">
        <v>2375</v>
      </c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9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28"/>
      <c r="CG78" s="28"/>
      <c r="CH78" s="28"/>
      <c r="CI78" s="28"/>
      <c r="CJ78" s="28"/>
      <c r="CK78" s="28"/>
      <c r="CL78" s="31">
        <f>400-45</f>
        <v>355</v>
      </c>
      <c r="CM78" s="31">
        <v>400</v>
      </c>
      <c r="CN78" s="31">
        <v>400</v>
      </c>
      <c r="CO78" s="31">
        <v>400</v>
      </c>
      <c r="CP78" s="31">
        <v>400</v>
      </c>
      <c r="CQ78" s="31">
        <v>400</v>
      </c>
      <c r="CR78" s="31">
        <v>400</v>
      </c>
      <c r="CS78" s="31">
        <v>400</v>
      </c>
      <c r="CT78" s="31">
        <v>400</v>
      </c>
      <c r="CU78" s="31">
        <v>400</v>
      </c>
      <c r="CV78" s="31">
        <v>400</v>
      </c>
      <c r="CW78" s="31">
        <v>400</v>
      </c>
      <c r="CX78" s="180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182"/>
      <c r="DM78" s="182"/>
      <c r="DN78" s="182"/>
      <c r="DO78" s="182"/>
      <c r="DP78" s="182"/>
      <c r="DQ78" s="31"/>
      <c r="DR78" s="31"/>
      <c r="DS78" s="31"/>
      <c r="DT78" s="31"/>
      <c r="DU78" s="31"/>
      <c r="DV78" s="31"/>
      <c r="DW78" s="31"/>
      <c r="DX78" s="31">
        <f t="shared" ref="DX78:EI78" si="23">200+200</f>
        <v>400</v>
      </c>
      <c r="DY78" s="31">
        <f t="shared" si="23"/>
        <v>400</v>
      </c>
      <c r="DZ78" s="31">
        <f t="shared" si="23"/>
        <v>400</v>
      </c>
      <c r="EA78" s="31">
        <f t="shared" si="23"/>
        <v>400</v>
      </c>
      <c r="EB78" s="31">
        <f t="shared" si="23"/>
        <v>400</v>
      </c>
      <c r="EC78" s="31">
        <f t="shared" si="23"/>
        <v>400</v>
      </c>
      <c r="ED78" s="31">
        <f t="shared" si="23"/>
        <v>400</v>
      </c>
      <c r="EE78" s="31">
        <f t="shared" si="23"/>
        <v>400</v>
      </c>
      <c r="EF78" s="31">
        <f t="shared" si="23"/>
        <v>400</v>
      </c>
      <c r="EG78" s="31">
        <f t="shared" si="23"/>
        <v>400</v>
      </c>
      <c r="EH78" s="31">
        <f t="shared" si="23"/>
        <v>400</v>
      </c>
      <c r="EI78" s="31">
        <f t="shared" si="23"/>
        <v>400</v>
      </c>
      <c r="EJ78" s="28"/>
    </row>
    <row r="79" spans="1:140" s="32" customFormat="1" ht="22.5" customHeight="1">
      <c r="A79" s="59">
        <v>77</v>
      </c>
      <c r="B79" s="59" t="s">
        <v>1069</v>
      </c>
      <c r="C79" s="51" t="s">
        <v>1293</v>
      </c>
      <c r="D79" s="50">
        <f>1200+300+300+600</f>
        <v>2400</v>
      </c>
      <c r="E79" s="80" t="s">
        <v>1294</v>
      </c>
      <c r="F79" s="52" t="s">
        <v>1289</v>
      </c>
      <c r="G79" s="141">
        <f>3500*6+3500*6-1750</f>
        <v>40250</v>
      </c>
      <c r="H79" s="52" t="s">
        <v>1289</v>
      </c>
      <c r="I79" s="89">
        <f>400+400+400*3+400*7-105-195</f>
        <v>4500</v>
      </c>
      <c r="J79" s="52"/>
      <c r="K79" s="8"/>
      <c r="L79" s="29">
        <f t="shared" si="19"/>
        <v>47150</v>
      </c>
      <c r="M79" s="29">
        <f>SUM(O79:DS79)</f>
        <v>44750</v>
      </c>
      <c r="N79" s="29">
        <f t="shared" si="20"/>
        <v>2400</v>
      </c>
      <c r="O79" s="29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>
        <v>3500</v>
      </c>
      <c r="AO79" s="31">
        <v>3500</v>
      </c>
      <c r="AP79" s="31">
        <v>3500</v>
      </c>
      <c r="AQ79" s="31">
        <v>3500</v>
      </c>
      <c r="AR79" s="31">
        <f>3500/2</f>
        <v>1750</v>
      </c>
      <c r="AS79" s="31">
        <v>3500</v>
      </c>
      <c r="AT79" s="31">
        <v>3500</v>
      </c>
      <c r="AU79" s="31">
        <v>3500</v>
      </c>
      <c r="AV79" s="31">
        <v>3500</v>
      </c>
      <c r="AW79" s="31">
        <v>3500</v>
      </c>
      <c r="AX79" s="31">
        <v>3500</v>
      </c>
      <c r="AY79" s="31">
        <v>3500</v>
      </c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9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>
        <v>400</v>
      </c>
      <c r="CM79" s="31">
        <f>400-105</f>
        <v>295</v>
      </c>
      <c r="CN79" s="31">
        <v>400</v>
      </c>
      <c r="CO79" s="31">
        <v>400</v>
      </c>
      <c r="CP79" s="31">
        <f>400-195</f>
        <v>205</v>
      </c>
      <c r="CQ79" s="31">
        <v>400</v>
      </c>
      <c r="CR79" s="31">
        <v>400</v>
      </c>
      <c r="CS79" s="31">
        <v>400</v>
      </c>
      <c r="CT79" s="31">
        <v>400</v>
      </c>
      <c r="CU79" s="31">
        <v>400</v>
      </c>
      <c r="CV79" s="31">
        <v>400</v>
      </c>
      <c r="CW79" s="31">
        <v>400</v>
      </c>
      <c r="CX79" s="180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182"/>
      <c r="DM79" s="182"/>
      <c r="DN79" s="182"/>
      <c r="DO79" s="182"/>
      <c r="DP79" s="182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28"/>
    </row>
    <row r="80" spans="1:140" s="32" customFormat="1" ht="22.5" customHeight="1">
      <c r="A80" s="59">
        <v>78</v>
      </c>
      <c r="B80" s="59" t="s">
        <v>1069</v>
      </c>
      <c r="C80" s="51" t="s">
        <v>1295</v>
      </c>
      <c r="D80" s="50">
        <f>1000+200+600+600</f>
        <v>2400</v>
      </c>
      <c r="E80" s="80" t="s">
        <v>1296</v>
      </c>
      <c r="F80" s="52" t="s">
        <v>1289</v>
      </c>
      <c r="G80" s="141">
        <f>2500*6+2500*6-1250-2000-2000-2000-2000</f>
        <v>20750</v>
      </c>
      <c r="H80" s="52" t="s">
        <v>1297</v>
      </c>
      <c r="I80" s="89">
        <f>400*2+400*2+400*4-90-255</f>
        <v>2855</v>
      </c>
      <c r="J80" s="52"/>
      <c r="K80" s="8"/>
      <c r="L80" s="29">
        <f t="shared" si="19"/>
        <v>26005</v>
      </c>
      <c r="M80" s="29">
        <f>SUM(O80:DS80)</f>
        <v>23605</v>
      </c>
      <c r="N80" s="29">
        <f t="shared" si="20"/>
        <v>2400</v>
      </c>
      <c r="O80" s="29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>
        <v>2500</v>
      </c>
      <c r="AO80" s="31">
        <v>2500</v>
      </c>
      <c r="AP80" s="31">
        <v>2500</v>
      </c>
      <c r="AQ80" s="31">
        <f>2500-1250</f>
        <v>1250</v>
      </c>
      <c r="AR80" s="31">
        <f>2500-2000</f>
        <v>500</v>
      </c>
      <c r="AS80" s="31">
        <f t="shared" ref="AS80:AU80" si="24">2500-2000</f>
        <v>500</v>
      </c>
      <c r="AT80" s="31">
        <f t="shared" si="24"/>
        <v>500</v>
      </c>
      <c r="AU80" s="31">
        <f t="shared" si="24"/>
        <v>500</v>
      </c>
      <c r="AV80" s="31">
        <v>2500</v>
      </c>
      <c r="AW80" s="31">
        <v>2500</v>
      </c>
      <c r="AX80" s="31">
        <v>2500</v>
      </c>
      <c r="AY80" s="31">
        <v>2500</v>
      </c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9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>
        <v>400</v>
      </c>
      <c r="CM80" s="31">
        <v>400</v>
      </c>
      <c r="CN80" s="31">
        <f>400-90</f>
        <v>310</v>
      </c>
      <c r="CO80" s="31">
        <f>400-255</f>
        <v>145</v>
      </c>
      <c r="CP80" s="31"/>
      <c r="CQ80" s="31"/>
      <c r="CR80" s="31"/>
      <c r="CS80" s="31"/>
      <c r="CT80" s="31">
        <v>400</v>
      </c>
      <c r="CU80" s="31">
        <v>400</v>
      </c>
      <c r="CV80" s="31">
        <v>400</v>
      </c>
      <c r="CW80" s="31">
        <v>400</v>
      </c>
      <c r="CX80" s="180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182"/>
      <c r="DM80" s="182"/>
      <c r="DN80" s="182"/>
      <c r="DO80" s="182"/>
      <c r="DP80" s="182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28"/>
    </row>
    <row r="81" spans="1:140" s="32" customFormat="1" ht="22.5" customHeight="1">
      <c r="A81" s="59">
        <v>79</v>
      </c>
      <c r="B81" s="59" t="s">
        <v>1069</v>
      </c>
      <c r="C81" s="51" t="s">
        <v>1298</v>
      </c>
      <c r="D81" s="50">
        <f>1000+800+600</f>
        <v>2400</v>
      </c>
      <c r="E81" s="80" t="s">
        <v>1299</v>
      </c>
      <c r="F81" s="52" t="s">
        <v>1289</v>
      </c>
      <c r="G81" s="141">
        <f>3500*6+3500*6-1750</f>
        <v>40250</v>
      </c>
      <c r="H81" s="52" t="s">
        <v>1289</v>
      </c>
      <c r="I81" s="89">
        <f>400+400+400*2+400-75+400*7-150</f>
        <v>4575</v>
      </c>
      <c r="J81" s="52" t="s">
        <v>1300</v>
      </c>
      <c r="K81" s="8">
        <f>400*3</f>
        <v>1200</v>
      </c>
      <c r="L81" s="29">
        <f t="shared" si="19"/>
        <v>48425</v>
      </c>
      <c r="M81" s="29">
        <f>SUM(O81:EI81)</f>
        <v>46025</v>
      </c>
      <c r="N81" s="29">
        <f t="shared" si="20"/>
        <v>2400</v>
      </c>
      <c r="O81" s="29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>
        <v>3500</v>
      </c>
      <c r="AO81" s="31">
        <v>3500</v>
      </c>
      <c r="AP81" s="31">
        <v>3500</v>
      </c>
      <c r="AQ81" s="31">
        <v>3500</v>
      </c>
      <c r="AR81" s="31">
        <f>3500/2</f>
        <v>1750</v>
      </c>
      <c r="AS81" s="31">
        <v>3500</v>
      </c>
      <c r="AT81" s="31">
        <v>3500</v>
      </c>
      <c r="AU81" s="31">
        <v>3500</v>
      </c>
      <c r="AV81" s="31">
        <v>3500</v>
      </c>
      <c r="AW81" s="31">
        <v>3500</v>
      </c>
      <c r="AX81" s="31">
        <v>3500</v>
      </c>
      <c r="AY81" s="31">
        <v>3500</v>
      </c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9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>
        <v>400</v>
      </c>
      <c r="CM81" s="31">
        <f>400-75</f>
        <v>325</v>
      </c>
      <c r="CN81" s="31">
        <v>400</v>
      </c>
      <c r="CO81" s="31">
        <v>400</v>
      </c>
      <c r="CP81" s="31">
        <f>400-150</f>
        <v>250</v>
      </c>
      <c r="CQ81" s="31">
        <v>400</v>
      </c>
      <c r="CR81" s="31">
        <v>400</v>
      </c>
      <c r="CS81" s="31">
        <v>400</v>
      </c>
      <c r="CT81" s="31">
        <v>400</v>
      </c>
      <c r="CU81" s="31">
        <v>400</v>
      </c>
      <c r="CV81" s="31">
        <v>400</v>
      </c>
      <c r="CW81" s="31">
        <v>400</v>
      </c>
      <c r="CX81" s="180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182"/>
      <c r="DM81" s="182"/>
      <c r="DN81" s="182"/>
      <c r="DO81" s="182"/>
      <c r="DP81" s="182"/>
      <c r="DQ81" s="182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>
        <v>400</v>
      </c>
      <c r="EE81" s="31">
        <v>400</v>
      </c>
      <c r="EF81" s="31">
        <v>400</v>
      </c>
      <c r="EG81" s="31"/>
      <c r="EH81" s="31"/>
      <c r="EI81" s="31"/>
      <c r="EJ81" s="28"/>
    </row>
    <row r="82" spans="1:140" s="32" customFormat="1" ht="22.5" customHeight="1">
      <c r="A82" s="59">
        <v>80</v>
      </c>
      <c r="B82" s="59" t="s">
        <v>1069</v>
      </c>
      <c r="C82" s="51" t="s">
        <v>1301</v>
      </c>
      <c r="D82" s="50">
        <f>1200+600+600</f>
        <v>2400</v>
      </c>
      <c r="E82" s="80" t="s">
        <v>1302</v>
      </c>
      <c r="F82" s="52" t="s">
        <v>1289</v>
      </c>
      <c r="G82" s="141">
        <f>5000*6*0.85+5000*6*0.85</f>
        <v>51000</v>
      </c>
      <c r="H82" s="52" t="s">
        <v>1289</v>
      </c>
      <c r="I82" s="89">
        <f>400*6+400*6-45-60</f>
        <v>4695</v>
      </c>
      <c r="J82" s="52"/>
      <c r="K82" s="8"/>
      <c r="L82" s="29">
        <f t="shared" si="19"/>
        <v>58095</v>
      </c>
      <c r="M82" s="29">
        <f>SUM(O82:DS82)</f>
        <v>55695</v>
      </c>
      <c r="N82" s="29">
        <f t="shared" si="20"/>
        <v>2400</v>
      </c>
      <c r="O82" s="29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>
        <f t="shared" ref="AN82:AY85" si="25">5000*0.85</f>
        <v>4250</v>
      </c>
      <c r="AO82" s="31">
        <f t="shared" si="25"/>
        <v>4250</v>
      </c>
      <c r="AP82" s="31">
        <f t="shared" si="25"/>
        <v>4250</v>
      </c>
      <c r="AQ82" s="31">
        <f t="shared" si="25"/>
        <v>4250</v>
      </c>
      <c r="AR82" s="31">
        <f t="shared" si="25"/>
        <v>4250</v>
      </c>
      <c r="AS82" s="31">
        <f t="shared" si="25"/>
        <v>4250</v>
      </c>
      <c r="AT82" s="31">
        <f t="shared" si="25"/>
        <v>4250</v>
      </c>
      <c r="AU82" s="31">
        <f t="shared" si="25"/>
        <v>4250</v>
      </c>
      <c r="AV82" s="31">
        <f t="shared" si="25"/>
        <v>4250</v>
      </c>
      <c r="AW82" s="31">
        <f t="shared" si="25"/>
        <v>4250</v>
      </c>
      <c r="AX82" s="31">
        <f t="shared" si="25"/>
        <v>4250</v>
      </c>
      <c r="AY82" s="31">
        <f t="shared" si="25"/>
        <v>4250</v>
      </c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9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>
        <v>400</v>
      </c>
      <c r="CM82" s="31">
        <v>400</v>
      </c>
      <c r="CN82" s="31">
        <f>400-45</f>
        <v>355</v>
      </c>
      <c r="CO82" s="31">
        <f>400-60</f>
        <v>340</v>
      </c>
      <c r="CP82" s="31">
        <v>400</v>
      </c>
      <c r="CQ82" s="31">
        <v>400</v>
      </c>
      <c r="CR82" s="31">
        <v>400</v>
      </c>
      <c r="CS82" s="31">
        <v>400</v>
      </c>
      <c r="CT82" s="31">
        <v>400</v>
      </c>
      <c r="CU82" s="31">
        <v>400</v>
      </c>
      <c r="CV82" s="31">
        <v>400</v>
      </c>
      <c r="CW82" s="31">
        <v>400</v>
      </c>
      <c r="CX82" s="180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182"/>
      <c r="DM82" s="182"/>
      <c r="DN82" s="182"/>
      <c r="DO82" s="182"/>
      <c r="DP82" s="182"/>
      <c r="DQ82" s="182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28"/>
    </row>
    <row r="83" spans="1:140" s="32" customFormat="1" ht="22.5" customHeight="1">
      <c r="A83" s="59">
        <v>81</v>
      </c>
      <c r="B83" s="59" t="s">
        <v>1069</v>
      </c>
      <c r="C83" s="51" t="s">
        <v>1303</v>
      </c>
      <c r="D83" s="50">
        <f>600+1200+600</f>
        <v>2400</v>
      </c>
      <c r="E83" s="80" t="s">
        <v>1304</v>
      </c>
      <c r="F83" s="52" t="s">
        <v>1289</v>
      </c>
      <c r="G83" s="141">
        <f>5000*6*0.85+5000*6*0.85-2125-2125</f>
        <v>46750</v>
      </c>
      <c r="H83" s="52" t="s">
        <v>1289</v>
      </c>
      <c r="I83" s="89">
        <f>400+400*3+400+400*7-180-105</f>
        <v>4515</v>
      </c>
      <c r="J83" s="52"/>
      <c r="K83" s="8"/>
      <c r="L83" s="29">
        <f t="shared" si="19"/>
        <v>53665</v>
      </c>
      <c r="M83" s="29">
        <f>SUM(O83:DS83)</f>
        <v>51265</v>
      </c>
      <c r="N83" s="29">
        <f t="shared" si="20"/>
        <v>2400</v>
      </c>
      <c r="O83" s="29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>
        <f t="shared" si="25"/>
        <v>4250</v>
      </c>
      <c r="AO83" s="31">
        <f t="shared" si="25"/>
        <v>4250</v>
      </c>
      <c r="AP83" s="31">
        <f t="shared" si="25"/>
        <v>4250</v>
      </c>
      <c r="AQ83" s="31">
        <f t="shared" si="25"/>
        <v>4250</v>
      </c>
      <c r="AR83" s="31">
        <f>5000*0.85/2</f>
        <v>2125</v>
      </c>
      <c r="AS83" s="31">
        <f>5000*0.85/2</f>
        <v>2125</v>
      </c>
      <c r="AT83" s="31">
        <f t="shared" si="25"/>
        <v>4250</v>
      </c>
      <c r="AU83" s="31">
        <f t="shared" si="25"/>
        <v>4250</v>
      </c>
      <c r="AV83" s="31">
        <f t="shared" si="25"/>
        <v>4250</v>
      </c>
      <c r="AW83" s="31">
        <f t="shared" si="25"/>
        <v>4250</v>
      </c>
      <c r="AX83" s="31">
        <f t="shared" si="25"/>
        <v>4250</v>
      </c>
      <c r="AY83" s="31">
        <f t="shared" si="25"/>
        <v>4250</v>
      </c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9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28"/>
      <c r="CA83" s="28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>
        <v>400</v>
      </c>
      <c r="CM83" s="31">
        <v>400</v>
      </c>
      <c r="CN83" s="31">
        <v>400</v>
      </c>
      <c r="CO83" s="31">
        <v>400</v>
      </c>
      <c r="CP83" s="31">
        <f>400-180</f>
        <v>220</v>
      </c>
      <c r="CQ83" s="31">
        <f>400-105</f>
        <v>295</v>
      </c>
      <c r="CR83" s="31">
        <v>400</v>
      </c>
      <c r="CS83" s="31">
        <v>400</v>
      </c>
      <c r="CT83" s="31">
        <v>400</v>
      </c>
      <c r="CU83" s="31">
        <v>400</v>
      </c>
      <c r="CV83" s="31">
        <v>400</v>
      </c>
      <c r="CW83" s="31">
        <v>400</v>
      </c>
      <c r="CX83" s="180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182"/>
      <c r="DM83" s="182"/>
      <c r="DN83" s="182"/>
      <c r="DO83" s="182"/>
      <c r="DP83" s="182"/>
      <c r="DQ83" s="182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28"/>
    </row>
    <row r="84" spans="1:140" s="32" customFormat="1" ht="22.5" customHeight="1">
      <c r="A84" s="59">
        <v>82</v>
      </c>
      <c r="B84" s="59" t="s">
        <v>1069</v>
      </c>
      <c r="C84" s="51" t="s">
        <v>1305</v>
      </c>
      <c r="D84" s="50">
        <f>1200+600+600</f>
        <v>2400</v>
      </c>
      <c r="E84" s="80" t="s">
        <v>1306</v>
      </c>
      <c r="F84" s="52" t="s">
        <v>1289</v>
      </c>
      <c r="G84" s="141">
        <f>5000*6*0.85+5000*6*0.85</f>
        <v>51000</v>
      </c>
      <c r="H84" s="52" t="s">
        <v>1289</v>
      </c>
      <c r="I84" s="89">
        <f>400*2+400*4+400*6-135</f>
        <v>4665</v>
      </c>
      <c r="J84" s="52" t="s">
        <v>1289</v>
      </c>
      <c r="K84" s="8">
        <f>400*6+400*6</f>
        <v>4800</v>
      </c>
      <c r="L84" s="29">
        <f t="shared" si="19"/>
        <v>62865</v>
      </c>
      <c r="M84" s="29">
        <f>SUM(O84:EI84)</f>
        <v>60465</v>
      </c>
      <c r="N84" s="29">
        <f t="shared" si="20"/>
        <v>2400</v>
      </c>
      <c r="O84" s="29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>
        <f t="shared" si="25"/>
        <v>4250</v>
      </c>
      <c r="AO84" s="31">
        <f t="shared" si="25"/>
        <v>4250</v>
      </c>
      <c r="AP84" s="31">
        <f t="shared" si="25"/>
        <v>4250</v>
      </c>
      <c r="AQ84" s="31">
        <f t="shared" si="25"/>
        <v>4250</v>
      </c>
      <c r="AR84" s="31">
        <f>5000*0.85</f>
        <v>4250</v>
      </c>
      <c r="AS84" s="31">
        <f>5000*0.85</f>
        <v>4250</v>
      </c>
      <c r="AT84" s="31">
        <f t="shared" si="25"/>
        <v>4250</v>
      </c>
      <c r="AU84" s="31">
        <f t="shared" si="25"/>
        <v>4250</v>
      </c>
      <c r="AV84" s="31">
        <f t="shared" si="25"/>
        <v>4250</v>
      </c>
      <c r="AW84" s="31">
        <f t="shared" si="25"/>
        <v>4250</v>
      </c>
      <c r="AX84" s="31">
        <f t="shared" si="25"/>
        <v>4250</v>
      </c>
      <c r="AY84" s="31">
        <f t="shared" si="25"/>
        <v>4250</v>
      </c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9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28"/>
      <c r="CA84" s="28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>
        <v>400</v>
      </c>
      <c r="CM84" s="31">
        <f>400-135</f>
        <v>265</v>
      </c>
      <c r="CN84" s="31">
        <v>400</v>
      </c>
      <c r="CO84" s="31">
        <v>400</v>
      </c>
      <c r="CP84" s="31">
        <v>400</v>
      </c>
      <c r="CQ84" s="31">
        <v>400</v>
      </c>
      <c r="CR84" s="31">
        <v>400</v>
      </c>
      <c r="CS84" s="31">
        <v>400</v>
      </c>
      <c r="CT84" s="31">
        <v>400</v>
      </c>
      <c r="CU84" s="31">
        <v>400</v>
      </c>
      <c r="CV84" s="31">
        <v>400</v>
      </c>
      <c r="CW84" s="31">
        <v>400</v>
      </c>
      <c r="CX84" s="180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182"/>
      <c r="DM84" s="182"/>
      <c r="DN84" s="182"/>
      <c r="DO84" s="182"/>
      <c r="DP84" s="182"/>
      <c r="DQ84" s="182"/>
      <c r="DR84" s="31"/>
      <c r="DS84" s="31"/>
      <c r="DT84" s="31"/>
      <c r="DU84" s="31"/>
      <c r="DV84" s="31"/>
      <c r="DW84" s="31"/>
      <c r="DX84" s="31">
        <v>400</v>
      </c>
      <c r="DY84" s="31">
        <v>400</v>
      </c>
      <c r="DZ84" s="31">
        <v>400</v>
      </c>
      <c r="EA84" s="31">
        <v>400</v>
      </c>
      <c r="EB84" s="31">
        <v>400</v>
      </c>
      <c r="EC84" s="31">
        <v>400</v>
      </c>
      <c r="ED84" s="31">
        <v>400</v>
      </c>
      <c r="EE84" s="31">
        <v>400</v>
      </c>
      <c r="EF84" s="31">
        <v>400</v>
      </c>
      <c r="EG84" s="31">
        <v>400</v>
      </c>
      <c r="EH84" s="31">
        <v>400</v>
      </c>
      <c r="EI84" s="31">
        <v>400</v>
      </c>
      <c r="EJ84" s="28"/>
    </row>
    <row r="85" spans="1:140" s="32" customFormat="1" ht="22.5" customHeight="1">
      <c r="A85" s="59">
        <v>83</v>
      </c>
      <c r="B85" s="59" t="s">
        <v>1069</v>
      </c>
      <c r="C85" s="51" t="s">
        <v>1307</v>
      </c>
      <c r="D85" s="50">
        <f>1200+600+600</f>
        <v>2400</v>
      </c>
      <c r="E85" s="80" t="s">
        <v>1308</v>
      </c>
      <c r="F85" s="52" t="s">
        <v>1289</v>
      </c>
      <c r="G85" s="141">
        <f>5000*6*0.85+5000*6*0.85-2125-2125</f>
        <v>46750</v>
      </c>
      <c r="H85" s="52" t="s">
        <v>1309</v>
      </c>
      <c r="I85" s="89">
        <f>400+400*2+400+235+400*7-180-225</f>
        <v>4230</v>
      </c>
      <c r="J85" s="52"/>
      <c r="K85" s="8"/>
      <c r="L85" s="29">
        <f t="shared" si="19"/>
        <v>53380</v>
      </c>
      <c r="M85" s="29">
        <f t="shared" ref="M85:M96" si="26">SUM(O85:DS85)</f>
        <v>50980</v>
      </c>
      <c r="N85" s="29">
        <f t="shared" si="20"/>
        <v>2400</v>
      </c>
      <c r="O85" s="29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>
        <f>5000*0.85</f>
        <v>4250</v>
      </c>
      <c r="AO85" s="31">
        <f>5000*0.85</f>
        <v>4250</v>
      </c>
      <c r="AP85" s="31">
        <f>5000*0.85/2</f>
        <v>2125</v>
      </c>
      <c r="AQ85" s="31">
        <f>5000*0.85/2</f>
        <v>2125</v>
      </c>
      <c r="AR85" s="31">
        <f>5000*0.85</f>
        <v>4250</v>
      </c>
      <c r="AS85" s="31">
        <f>5000*0.85</f>
        <v>4250</v>
      </c>
      <c r="AT85" s="31">
        <f t="shared" si="25"/>
        <v>4250</v>
      </c>
      <c r="AU85" s="31">
        <f t="shared" si="25"/>
        <v>4250</v>
      </c>
      <c r="AV85" s="31">
        <f t="shared" si="25"/>
        <v>4250</v>
      </c>
      <c r="AW85" s="31">
        <f t="shared" si="25"/>
        <v>4250</v>
      </c>
      <c r="AX85" s="31">
        <f t="shared" si="25"/>
        <v>4250</v>
      </c>
      <c r="AY85" s="31">
        <f t="shared" si="25"/>
        <v>4250</v>
      </c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9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>
        <v>400</v>
      </c>
      <c r="CM85" s="31">
        <v>400</v>
      </c>
      <c r="CN85" s="31">
        <f>400-180</f>
        <v>220</v>
      </c>
      <c r="CO85" s="31">
        <f>400-225</f>
        <v>175</v>
      </c>
      <c r="CP85" s="31">
        <f>400-165</f>
        <v>235</v>
      </c>
      <c r="CQ85" s="31">
        <v>400</v>
      </c>
      <c r="CR85" s="31">
        <v>400</v>
      </c>
      <c r="CS85" s="31">
        <v>400</v>
      </c>
      <c r="CT85" s="31">
        <v>400</v>
      </c>
      <c r="CU85" s="31">
        <v>400</v>
      </c>
      <c r="CV85" s="31">
        <v>400</v>
      </c>
      <c r="CW85" s="31">
        <v>400</v>
      </c>
      <c r="CX85" s="180"/>
      <c r="CY85" s="31"/>
      <c r="CZ85" s="31"/>
      <c r="DA85" s="31"/>
      <c r="DB85" s="31"/>
      <c r="DC85" s="31"/>
      <c r="DD85" s="31"/>
      <c r="DE85" s="31"/>
      <c r="DF85" s="31"/>
      <c r="DG85" s="31"/>
      <c r="DH85" s="31"/>
      <c r="DI85" s="31"/>
      <c r="DJ85" s="31"/>
      <c r="DK85" s="31"/>
      <c r="DL85" s="182"/>
      <c r="DM85" s="182"/>
      <c r="DN85" s="182"/>
      <c r="DO85" s="182"/>
      <c r="DP85" s="182"/>
      <c r="DQ85" s="182"/>
      <c r="DR85" s="31"/>
      <c r="DS85" s="31"/>
      <c r="DT85" s="31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28"/>
    </row>
    <row r="86" spans="1:140" s="32" customFormat="1" ht="22.5" customHeight="1">
      <c r="A86" s="59">
        <v>84</v>
      </c>
      <c r="B86" s="59" t="s">
        <v>1069</v>
      </c>
      <c r="C86" s="51" t="s">
        <v>1310</v>
      </c>
      <c r="D86" s="50">
        <f>600+1200+600</f>
        <v>2400</v>
      </c>
      <c r="E86" s="80" t="s">
        <v>1311</v>
      </c>
      <c r="F86" s="52" t="s">
        <v>1289</v>
      </c>
      <c r="G86" s="141">
        <f>3800*6*0.85+3800*6*0.85</f>
        <v>38760</v>
      </c>
      <c r="H86" s="52" t="s">
        <v>1312</v>
      </c>
      <c r="I86" s="89">
        <f>400*4+400*6</f>
        <v>4000</v>
      </c>
      <c r="J86" s="52"/>
      <c r="K86" s="8"/>
      <c r="L86" s="29">
        <f t="shared" si="19"/>
        <v>45160</v>
      </c>
      <c r="M86" s="29">
        <f t="shared" si="26"/>
        <v>42760</v>
      </c>
      <c r="N86" s="29">
        <f t="shared" si="20"/>
        <v>2400</v>
      </c>
      <c r="O86" s="29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>
        <f t="shared" ref="AN86:AY90" si="27">3800*0.85</f>
        <v>3230</v>
      </c>
      <c r="AO86" s="31">
        <f t="shared" si="27"/>
        <v>3230</v>
      </c>
      <c r="AP86" s="31">
        <f t="shared" si="27"/>
        <v>3230</v>
      </c>
      <c r="AQ86" s="31">
        <f t="shared" si="27"/>
        <v>3230</v>
      </c>
      <c r="AR86" s="31">
        <f t="shared" si="27"/>
        <v>3230</v>
      </c>
      <c r="AS86" s="31">
        <f t="shared" si="27"/>
        <v>3230</v>
      </c>
      <c r="AT86" s="31">
        <f t="shared" si="27"/>
        <v>3230</v>
      </c>
      <c r="AU86" s="31">
        <f t="shared" si="27"/>
        <v>3230</v>
      </c>
      <c r="AV86" s="31">
        <f t="shared" si="27"/>
        <v>3230</v>
      </c>
      <c r="AW86" s="31">
        <f t="shared" si="27"/>
        <v>3230</v>
      </c>
      <c r="AX86" s="31">
        <f t="shared" si="27"/>
        <v>3230</v>
      </c>
      <c r="AY86" s="31">
        <f t="shared" si="27"/>
        <v>3230</v>
      </c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9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>
        <v>400</v>
      </c>
      <c r="CM86" s="31">
        <v>400</v>
      </c>
      <c r="CN86" s="31">
        <v>400</v>
      </c>
      <c r="CO86" s="31">
        <v>400</v>
      </c>
      <c r="CP86" s="31"/>
      <c r="CQ86" s="31"/>
      <c r="CR86" s="31">
        <v>400</v>
      </c>
      <c r="CS86" s="31">
        <v>400</v>
      </c>
      <c r="CT86" s="31">
        <v>400</v>
      </c>
      <c r="CU86" s="31">
        <v>400</v>
      </c>
      <c r="CV86" s="31">
        <v>400</v>
      </c>
      <c r="CW86" s="31">
        <v>400</v>
      </c>
      <c r="CX86" s="180"/>
      <c r="CY86" s="31"/>
      <c r="CZ86" s="31"/>
      <c r="DA86" s="31"/>
      <c r="DB86" s="31"/>
      <c r="DC86" s="31"/>
      <c r="DD86" s="31"/>
      <c r="DE86" s="31"/>
      <c r="DF86" s="31"/>
      <c r="DG86" s="31"/>
      <c r="DH86" s="31"/>
      <c r="DI86" s="31"/>
      <c r="DJ86" s="31"/>
      <c r="DK86" s="31"/>
      <c r="DL86" s="182"/>
      <c r="DM86" s="182"/>
      <c r="DN86" s="182"/>
      <c r="DO86" s="182"/>
      <c r="DP86" s="182"/>
      <c r="DQ86" s="182"/>
      <c r="DR86" s="31"/>
      <c r="DS86" s="31"/>
      <c r="DT86" s="31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28"/>
    </row>
    <row r="87" spans="1:140" s="32" customFormat="1" ht="21.75" customHeight="1">
      <c r="A87" s="59">
        <v>85</v>
      </c>
      <c r="B87" s="59" t="s">
        <v>1069</v>
      </c>
      <c r="C87" s="51" t="s">
        <v>1313</v>
      </c>
      <c r="D87" s="50">
        <f>1200+600+600</f>
        <v>2400</v>
      </c>
      <c r="E87" s="80" t="s">
        <v>1314</v>
      </c>
      <c r="F87" s="52" t="s">
        <v>1289</v>
      </c>
      <c r="G87" s="141">
        <f>3800*6*0.85+3800*6*0.85</f>
        <v>38760</v>
      </c>
      <c r="H87" s="52" t="s">
        <v>1289</v>
      </c>
      <c r="I87" s="89">
        <f>400*6+400*6-45-75</f>
        <v>4680</v>
      </c>
      <c r="J87" s="52"/>
      <c r="K87" s="8"/>
      <c r="L87" s="29">
        <f t="shared" si="19"/>
        <v>45840</v>
      </c>
      <c r="M87" s="29">
        <f t="shared" si="26"/>
        <v>43440</v>
      </c>
      <c r="N87" s="29">
        <f t="shared" si="20"/>
        <v>2400</v>
      </c>
      <c r="O87" s="29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>
        <f t="shared" si="27"/>
        <v>3230</v>
      </c>
      <c r="AO87" s="31">
        <f t="shared" si="27"/>
        <v>3230</v>
      </c>
      <c r="AP87" s="31">
        <f t="shared" si="27"/>
        <v>3230</v>
      </c>
      <c r="AQ87" s="31">
        <f t="shared" si="27"/>
        <v>3230</v>
      </c>
      <c r="AR87" s="31">
        <f t="shared" si="27"/>
        <v>3230</v>
      </c>
      <c r="AS87" s="31">
        <f t="shared" si="27"/>
        <v>3230</v>
      </c>
      <c r="AT87" s="31">
        <f t="shared" si="27"/>
        <v>3230</v>
      </c>
      <c r="AU87" s="31">
        <f t="shared" si="27"/>
        <v>3230</v>
      </c>
      <c r="AV87" s="31">
        <f t="shared" si="27"/>
        <v>3230</v>
      </c>
      <c r="AW87" s="31">
        <f t="shared" si="27"/>
        <v>3230</v>
      </c>
      <c r="AX87" s="31">
        <f t="shared" si="27"/>
        <v>3230</v>
      </c>
      <c r="AY87" s="31">
        <f t="shared" si="27"/>
        <v>3230</v>
      </c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9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>
        <v>400</v>
      </c>
      <c r="CM87" s="31">
        <f>400-45</f>
        <v>355</v>
      </c>
      <c r="CN87" s="31">
        <v>400</v>
      </c>
      <c r="CO87" s="31">
        <f>400-75</f>
        <v>325</v>
      </c>
      <c r="CP87" s="31">
        <v>400</v>
      </c>
      <c r="CQ87" s="31">
        <v>400</v>
      </c>
      <c r="CR87" s="31">
        <v>400</v>
      </c>
      <c r="CS87" s="31">
        <v>400</v>
      </c>
      <c r="CT87" s="31">
        <v>400</v>
      </c>
      <c r="CU87" s="31">
        <v>400</v>
      </c>
      <c r="CV87" s="31">
        <v>400</v>
      </c>
      <c r="CW87" s="31">
        <v>400</v>
      </c>
      <c r="CX87" s="180"/>
      <c r="CY87" s="31"/>
      <c r="CZ87" s="31"/>
      <c r="DA87" s="31"/>
      <c r="DB87" s="31"/>
      <c r="DC87" s="31"/>
      <c r="DD87" s="31"/>
      <c r="DE87" s="31"/>
      <c r="DF87" s="31"/>
      <c r="DG87" s="31"/>
      <c r="DH87" s="31"/>
      <c r="DI87" s="31"/>
      <c r="DJ87" s="31"/>
      <c r="DK87" s="31"/>
      <c r="DL87" s="182"/>
      <c r="DM87" s="182"/>
      <c r="DN87" s="182"/>
      <c r="DO87" s="182"/>
      <c r="DP87" s="182"/>
      <c r="DQ87" s="182"/>
      <c r="DR87" s="31"/>
      <c r="DS87" s="31"/>
      <c r="DT87" s="31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28"/>
    </row>
    <row r="88" spans="1:140" s="32" customFormat="1" ht="21.75" customHeight="1">
      <c r="A88" s="59">
        <v>86</v>
      </c>
      <c r="B88" s="59" t="s">
        <v>1069</v>
      </c>
      <c r="C88" s="51" t="s">
        <v>1315</v>
      </c>
      <c r="D88" s="50">
        <f>600+1200+600</f>
        <v>2400</v>
      </c>
      <c r="E88" s="80" t="s">
        <v>1316</v>
      </c>
      <c r="F88" s="52" t="s">
        <v>1289</v>
      </c>
      <c r="G88" s="141">
        <f>3800*6*0.85+3800*6*0.85-2730-2730</f>
        <v>33300</v>
      </c>
      <c r="H88" s="52" t="s">
        <v>1312</v>
      </c>
      <c r="I88" s="89">
        <f>400+400+400+400+400*6</f>
        <v>4000</v>
      </c>
      <c r="J88" s="52"/>
      <c r="K88" s="8"/>
      <c r="L88" s="29">
        <f t="shared" si="19"/>
        <v>39700</v>
      </c>
      <c r="M88" s="29">
        <f t="shared" si="26"/>
        <v>37300</v>
      </c>
      <c r="N88" s="29">
        <f t="shared" si="20"/>
        <v>2400</v>
      </c>
      <c r="O88" s="29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>
        <f t="shared" si="27"/>
        <v>3230</v>
      </c>
      <c r="AO88" s="31">
        <f t="shared" si="27"/>
        <v>3230</v>
      </c>
      <c r="AP88" s="31">
        <f t="shared" si="27"/>
        <v>3230</v>
      </c>
      <c r="AQ88" s="31">
        <f t="shared" si="27"/>
        <v>3230</v>
      </c>
      <c r="AR88" s="31">
        <f>3800*0.85-2730</f>
        <v>500</v>
      </c>
      <c r="AS88" s="31">
        <f>3800*0.85-2730</f>
        <v>500</v>
      </c>
      <c r="AT88" s="31">
        <f t="shared" si="27"/>
        <v>3230</v>
      </c>
      <c r="AU88" s="31">
        <f t="shared" si="27"/>
        <v>3230</v>
      </c>
      <c r="AV88" s="31">
        <f t="shared" si="27"/>
        <v>3230</v>
      </c>
      <c r="AW88" s="31">
        <f t="shared" si="27"/>
        <v>3230</v>
      </c>
      <c r="AX88" s="31">
        <f t="shared" si="27"/>
        <v>3230</v>
      </c>
      <c r="AY88" s="31">
        <f t="shared" si="27"/>
        <v>3230</v>
      </c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9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>
        <v>400</v>
      </c>
      <c r="CM88" s="31">
        <v>400</v>
      </c>
      <c r="CN88" s="31">
        <v>400</v>
      </c>
      <c r="CO88" s="31">
        <v>400</v>
      </c>
      <c r="CP88" s="31"/>
      <c r="CQ88" s="31"/>
      <c r="CR88" s="31">
        <v>400</v>
      </c>
      <c r="CS88" s="31">
        <v>400</v>
      </c>
      <c r="CT88" s="31">
        <v>400</v>
      </c>
      <c r="CU88" s="31">
        <v>400</v>
      </c>
      <c r="CV88" s="31">
        <v>400</v>
      </c>
      <c r="CW88" s="31">
        <v>400</v>
      </c>
      <c r="CX88" s="180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182"/>
      <c r="DM88" s="182"/>
      <c r="DN88" s="182"/>
      <c r="DO88" s="182"/>
      <c r="DP88" s="182"/>
      <c r="DQ88" s="182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28"/>
    </row>
    <row r="89" spans="1:140" s="32" customFormat="1" ht="21.75" customHeight="1">
      <c r="A89" s="59">
        <v>87</v>
      </c>
      <c r="B89" s="59" t="s">
        <v>1069</v>
      </c>
      <c r="C89" s="51" t="s">
        <v>1317</v>
      </c>
      <c r="D89" s="50">
        <f>600+1200+600</f>
        <v>2400</v>
      </c>
      <c r="E89" s="80" t="s">
        <v>1318</v>
      </c>
      <c r="F89" s="52" t="s">
        <v>1289</v>
      </c>
      <c r="G89" s="141">
        <f>3800*6*0.85+3800*6*0.85-2730</f>
        <v>36030</v>
      </c>
      <c r="H89" s="52" t="s">
        <v>1289</v>
      </c>
      <c r="I89" s="89">
        <f>400*2+400*2+400*2-105-75+400*6-400</f>
        <v>4220</v>
      </c>
      <c r="J89" s="52"/>
      <c r="K89" s="8"/>
      <c r="L89" s="29">
        <f t="shared" si="19"/>
        <v>42650</v>
      </c>
      <c r="M89" s="29">
        <f t="shared" si="26"/>
        <v>40250</v>
      </c>
      <c r="N89" s="29">
        <f t="shared" si="20"/>
        <v>2400</v>
      </c>
      <c r="O89" s="29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>
        <f t="shared" si="27"/>
        <v>3230</v>
      </c>
      <c r="AO89" s="31">
        <f t="shared" si="27"/>
        <v>3230</v>
      </c>
      <c r="AP89" s="31">
        <f t="shared" si="27"/>
        <v>3230</v>
      </c>
      <c r="AQ89" s="31">
        <f t="shared" si="27"/>
        <v>3230</v>
      </c>
      <c r="AR89" s="31">
        <f>3800*0.85-2730</f>
        <v>500</v>
      </c>
      <c r="AS89" s="31">
        <f t="shared" si="27"/>
        <v>3230</v>
      </c>
      <c r="AT89" s="31">
        <f t="shared" si="27"/>
        <v>3230</v>
      </c>
      <c r="AU89" s="31">
        <f t="shared" si="27"/>
        <v>3230</v>
      </c>
      <c r="AV89" s="31">
        <f t="shared" si="27"/>
        <v>3230</v>
      </c>
      <c r="AW89" s="31">
        <f t="shared" si="27"/>
        <v>3230</v>
      </c>
      <c r="AX89" s="31">
        <f t="shared" si="27"/>
        <v>3230</v>
      </c>
      <c r="AY89" s="31">
        <f t="shared" si="27"/>
        <v>3230</v>
      </c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9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>
        <v>400</v>
      </c>
      <c r="CM89" s="31">
        <f>400-105</f>
        <v>295</v>
      </c>
      <c r="CN89" s="31">
        <f>400-75</f>
        <v>325</v>
      </c>
      <c r="CO89" s="31">
        <v>400</v>
      </c>
      <c r="CP89" s="31">
        <f>400-400</f>
        <v>0</v>
      </c>
      <c r="CQ89" s="31">
        <v>400</v>
      </c>
      <c r="CR89" s="31">
        <v>400</v>
      </c>
      <c r="CS89" s="31">
        <v>400</v>
      </c>
      <c r="CT89" s="31">
        <v>400</v>
      </c>
      <c r="CU89" s="31">
        <v>400</v>
      </c>
      <c r="CV89" s="31">
        <v>400</v>
      </c>
      <c r="CW89" s="31">
        <v>400</v>
      </c>
      <c r="CX89" s="180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182"/>
      <c r="DM89" s="182"/>
      <c r="DN89" s="182"/>
      <c r="DO89" s="182"/>
      <c r="DP89" s="182"/>
      <c r="DQ89" s="182"/>
      <c r="DR89" s="31"/>
      <c r="DS89" s="31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28"/>
    </row>
    <row r="90" spans="1:140" s="32" customFormat="1" ht="21.75" customHeight="1">
      <c r="A90" s="59">
        <v>88</v>
      </c>
      <c r="B90" s="59" t="s">
        <v>1069</v>
      </c>
      <c r="C90" s="51" t="s">
        <v>1319</v>
      </c>
      <c r="D90" s="50">
        <f t="shared" ref="D90:D101" si="28">1200+600+600</f>
        <v>2400</v>
      </c>
      <c r="E90" s="80" t="s">
        <v>1320</v>
      </c>
      <c r="F90" s="52" t="s">
        <v>1289</v>
      </c>
      <c r="G90" s="141">
        <f>3800*6*0.85+3800*6*0.85-1615-1615</f>
        <v>35530</v>
      </c>
      <c r="H90" s="52" t="s">
        <v>1289</v>
      </c>
      <c r="I90" s="89">
        <f>400*3+400*2+400*7-180-105</f>
        <v>4515</v>
      </c>
      <c r="J90" s="52"/>
      <c r="K90" s="8"/>
      <c r="L90" s="29">
        <f t="shared" si="19"/>
        <v>42445</v>
      </c>
      <c r="M90" s="29">
        <f t="shared" si="26"/>
        <v>40045</v>
      </c>
      <c r="N90" s="29">
        <f t="shared" si="20"/>
        <v>2400</v>
      </c>
      <c r="O90" s="29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>
        <f t="shared" si="27"/>
        <v>3230</v>
      </c>
      <c r="AO90" s="31">
        <f t="shared" si="27"/>
        <v>3230</v>
      </c>
      <c r="AP90" s="31">
        <f t="shared" si="27"/>
        <v>3230</v>
      </c>
      <c r="AQ90" s="31">
        <f t="shared" si="27"/>
        <v>3230</v>
      </c>
      <c r="AR90" s="31">
        <f>3800*0.85/2</f>
        <v>1615</v>
      </c>
      <c r="AS90" s="31">
        <f>3800*0.85/2</f>
        <v>1615</v>
      </c>
      <c r="AT90" s="31">
        <f t="shared" si="27"/>
        <v>3230</v>
      </c>
      <c r="AU90" s="31">
        <f t="shared" si="27"/>
        <v>3230</v>
      </c>
      <c r="AV90" s="31">
        <f t="shared" si="27"/>
        <v>3230</v>
      </c>
      <c r="AW90" s="31">
        <f t="shared" si="27"/>
        <v>3230</v>
      </c>
      <c r="AX90" s="31">
        <f t="shared" si="27"/>
        <v>3230</v>
      </c>
      <c r="AY90" s="31">
        <f t="shared" si="27"/>
        <v>3230</v>
      </c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9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>
        <v>400</v>
      </c>
      <c r="CM90" s="31">
        <v>400</v>
      </c>
      <c r="CN90" s="31">
        <v>400</v>
      </c>
      <c r="CO90" s="31">
        <v>400</v>
      </c>
      <c r="CP90" s="31">
        <f>400-180</f>
        <v>220</v>
      </c>
      <c r="CQ90" s="31">
        <f>400-105</f>
        <v>295</v>
      </c>
      <c r="CR90" s="31">
        <v>400</v>
      </c>
      <c r="CS90" s="31">
        <v>400</v>
      </c>
      <c r="CT90" s="31">
        <v>400</v>
      </c>
      <c r="CU90" s="31">
        <v>400</v>
      </c>
      <c r="CV90" s="31">
        <v>400</v>
      </c>
      <c r="CW90" s="31">
        <v>400</v>
      </c>
      <c r="CX90" s="180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182"/>
      <c r="DM90" s="182"/>
      <c r="DN90" s="182"/>
      <c r="DO90" s="182"/>
      <c r="DP90" s="182"/>
      <c r="DQ90" s="182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28"/>
    </row>
    <row r="91" spans="1:140" s="32" customFormat="1" ht="21.75" customHeight="1">
      <c r="A91" s="59">
        <v>89</v>
      </c>
      <c r="B91" s="59" t="s">
        <v>1069</v>
      </c>
      <c r="C91" s="51" t="s">
        <v>1321</v>
      </c>
      <c r="D91" s="50">
        <f t="shared" si="28"/>
        <v>2400</v>
      </c>
      <c r="E91" s="80" t="s">
        <v>1322</v>
      </c>
      <c r="F91" s="52" t="s">
        <v>1289</v>
      </c>
      <c r="G91" s="141">
        <f>5000*6-1800+5000*6-2350</f>
        <v>55850</v>
      </c>
      <c r="H91" s="52" t="s">
        <v>1289</v>
      </c>
      <c r="I91" s="89">
        <f>400*2+400+400+400+400*7-105</f>
        <v>4695</v>
      </c>
      <c r="J91" s="52"/>
      <c r="K91" s="8"/>
      <c r="L91" s="29">
        <f>D91+G91+I91+K91</f>
        <v>62945</v>
      </c>
      <c r="M91" s="29">
        <f>SUM(O91:EI91)</f>
        <v>60545</v>
      </c>
      <c r="N91" s="29">
        <f>L91-M91</f>
        <v>2400</v>
      </c>
      <c r="O91" s="29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>
        <f>5000-300</f>
        <v>4700</v>
      </c>
      <c r="AO91" s="31">
        <f>5000-300</f>
        <v>4700</v>
      </c>
      <c r="AP91" s="31">
        <f>5000-300</f>
        <v>4700</v>
      </c>
      <c r="AQ91" s="31">
        <f>5000-300</f>
        <v>4700</v>
      </c>
      <c r="AR91" s="31">
        <f>5000-300</f>
        <v>4700</v>
      </c>
      <c r="AS91" s="31">
        <f>(5000-300)/2</f>
        <v>2350</v>
      </c>
      <c r="AT91" s="31">
        <v>5000</v>
      </c>
      <c r="AU91" s="31">
        <v>5000</v>
      </c>
      <c r="AV91" s="31">
        <v>5000</v>
      </c>
      <c r="AW91" s="31">
        <v>5000</v>
      </c>
      <c r="AX91" s="31">
        <v>5000</v>
      </c>
      <c r="AY91" s="31">
        <v>5000</v>
      </c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9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>
        <v>400</v>
      </c>
      <c r="CM91" s="31">
        <v>400</v>
      </c>
      <c r="CN91" s="31">
        <v>400</v>
      </c>
      <c r="CO91" s="31">
        <v>400</v>
      </c>
      <c r="CP91" s="31">
        <v>400</v>
      </c>
      <c r="CQ91" s="31">
        <f>400-105</f>
        <v>295</v>
      </c>
      <c r="CR91" s="31">
        <v>400</v>
      </c>
      <c r="CS91" s="31">
        <v>400</v>
      </c>
      <c r="CT91" s="31">
        <v>400</v>
      </c>
      <c r="CU91" s="31">
        <v>400</v>
      </c>
      <c r="CV91" s="31">
        <v>400</v>
      </c>
      <c r="CW91" s="31">
        <v>400</v>
      </c>
      <c r="CX91" s="180"/>
      <c r="CY91" s="31"/>
      <c r="CZ91" s="31"/>
      <c r="DA91" s="31"/>
      <c r="DB91" s="31"/>
      <c r="DC91" s="31"/>
      <c r="DD91" s="31"/>
      <c r="DE91" s="31"/>
      <c r="DF91" s="31"/>
      <c r="DG91" s="31"/>
      <c r="DH91" s="31"/>
      <c r="DI91" s="31"/>
      <c r="DJ91" s="31"/>
      <c r="DK91" s="31"/>
      <c r="DL91" s="182"/>
      <c r="DM91" s="182"/>
      <c r="DN91" s="182"/>
      <c r="DO91" s="182"/>
      <c r="DP91" s="182"/>
      <c r="DQ91" s="182"/>
      <c r="DR91" s="31"/>
      <c r="DS91" s="31"/>
      <c r="DT91" s="31"/>
      <c r="DU91" s="31"/>
      <c r="DV91" s="31"/>
      <c r="DW91" s="31"/>
      <c r="DX91" s="31"/>
      <c r="DY91" s="31"/>
      <c r="DZ91" s="31"/>
      <c r="EA91" s="31"/>
      <c r="EB91" s="31"/>
      <c r="EC91" s="31"/>
      <c r="ED91" s="31"/>
      <c r="EE91" s="31"/>
      <c r="EF91" s="31"/>
      <c r="EG91" s="31"/>
      <c r="EH91" s="31"/>
      <c r="EI91" s="31"/>
      <c r="EJ91" s="28"/>
    </row>
    <row r="92" spans="1:140" s="32" customFormat="1" ht="22.5" customHeight="1">
      <c r="A92" s="59">
        <v>90</v>
      </c>
      <c r="B92" s="59" t="s">
        <v>1069</v>
      </c>
      <c r="C92" s="51" t="s">
        <v>1323</v>
      </c>
      <c r="D92" s="50">
        <f t="shared" si="28"/>
        <v>2400</v>
      </c>
      <c r="E92" s="80" t="s">
        <v>1324</v>
      </c>
      <c r="F92" s="52" t="s">
        <v>1289</v>
      </c>
      <c r="G92" s="141">
        <f>3800*6*0.85+3800*6*0.85-2730</f>
        <v>36030</v>
      </c>
      <c r="H92" s="52" t="s">
        <v>1289</v>
      </c>
      <c r="I92" s="89">
        <f>400*2+400*2+400+400*7-60-400</f>
        <v>4340</v>
      </c>
      <c r="J92" s="52"/>
      <c r="K92" s="8"/>
      <c r="L92" s="29">
        <f t="shared" si="19"/>
        <v>42770</v>
      </c>
      <c r="M92" s="29">
        <f t="shared" si="26"/>
        <v>40370</v>
      </c>
      <c r="N92" s="29">
        <f t="shared" si="20"/>
        <v>2400</v>
      </c>
      <c r="O92" s="29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>
        <f>3800*0.85-3230</f>
        <v>0</v>
      </c>
      <c r="AK92" s="31">
        <f>3800*0.85-3230</f>
        <v>0</v>
      </c>
      <c r="AL92" s="31">
        <f>3800*0.85-3230</f>
        <v>0</v>
      </c>
      <c r="AM92" s="31">
        <f>3800*0.85-3230</f>
        <v>0</v>
      </c>
      <c r="AN92" s="31">
        <f t="shared" ref="AN92:AY93" si="29">3800*0.85</f>
        <v>3230</v>
      </c>
      <c r="AO92" s="31">
        <f t="shared" si="29"/>
        <v>3230</v>
      </c>
      <c r="AP92" s="31">
        <f t="shared" si="29"/>
        <v>3230</v>
      </c>
      <c r="AQ92" s="31">
        <f t="shared" si="29"/>
        <v>3230</v>
      </c>
      <c r="AR92" s="31">
        <f t="shared" si="29"/>
        <v>3230</v>
      </c>
      <c r="AS92" s="31">
        <f>3800*0.85-2730</f>
        <v>500</v>
      </c>
      <c r="AT92" s="31">
        <f t="shared" si="29"/>
        <v>3230</v>
      </c>
      <c r="AU92" s="31">
        <f t="shared" si="29"/>
        <v>3230</v>
      </c>
      <c r="AV92" s="31">
        <f t="shared" si="29"/>
        <v>3230</v>
      </c>
      <c r="AW92" s="31">
        <f t="shared" si="29"/>
        <v>3230</v>
      </c>
      <c r="AX92" s="31">
        <f t="shared" si="29"/>
        <v>3230</v>
      </c>
      <c r="AY92" s="31">
        <f t="shared" si="29"/>
        <v>3230</v>
      </c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9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28"/>
      <c r="CI92" s="28"/>
      <c r="CJ92" s="31"/>
      <c r="CK92" s="31"/>
      <c r="CL92" s="31">
        <v>400</v>
      </c>
      <c r="CM92" s="31">
        <f>400-60</f>
        <v>340</v>
      </c>
      <c r="CN92" s="31">
        <v>400</v>
      </c>
      <c r="CO92" s="31">
        <v>400</v>
      </c>
      <c r="CP92" s="31">
        <v>400</v>
      </c>
      <c r="CQ92" s="31">
        <f>400-400</f>
        <v>0</v>
      </c>
      <c r="CR92" s="31">
        <v>400</v>
      </c>
      <c r="CS92" s="31">
        <v>400</v>
      </c>
      <c r="CT92" s="31">
        <v>400</v>
      </c>
      <c r="CU92" s="31">
        <v>400</v>
      </c>
      <c r="CV92" s="31">
        <v>400</v>
      </c>
      <c r="CW92" s="31">
        <v>400</v>
      </c>
      <c r="CX92" s="180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182"/>
      <c r="DM92" s="182"/>
      <c r="DN92" s="182"/>
      <c r="DO92" s="182"/>
      <c r="DP92" s="182"/>
      <c r="DQ92" s="182"/>
      <c r="DR92" s="31"/>
      <c r="DS92" s="31"/>
      <c r="DT92" s="31"/>
      <c r="DU92" s="31"/>
      <c r="DV92" s="31"/>
      <c r="DW92" s="31"/>
      <c r="DX92" s="31"/>
      <c r="DY92" s="31"/>
      <c r="DZ92" s="31"/>
      <c r="EA92" s="31"/>
      <c r="EB92" s="31"/>
      <c r="EC92" s="31"/>
      <c r="ED92" s="31"/>
      <c r="EE92" s="31"/>
      <c r="EF92" s="31"/>
      <c r="EG92" s="31"/>
      <c r="EH92" s="31"/>
      <c r="EI92" s="31"/>
      <c r="EJ92" s="28"/>
    </row>
    <row r="93" spans="1:140" s="32" customFormat="1" ht="22.5" customHeight="1">
      <c r="A93" s="59">
        <v>91</v>
      </c>
      <c r="B93" s="59" t="s">
        <v>1069</v>
      </c>
      <c r="C93" s="51" t="s">
        <v>1325</v>
      </c>
      <c r="D93" s="50">
        <f t="shared" si="28"/>
        <v>2400</v>
      </c>
      <c r="E93" s="80" t="s">
        <v>1326</v>
      </c>
      <c r="F93" s="52" t="s">
        <v>1289</v>
      </c>
      <c r="G93" s="141">
        <f>3800*6*0.85-800-1615+3800*6*0.85-1615-1615</f>
        <v>33115</v>
      </c>
      <c r="H93" s="52" t="s">
        <v>1289</v>
      </c>
      <c r="I93" s="89">
        <f>400*2+400+400*3-45-225+400*6-195-165</f>
        <v>4170</v>
      </c>
      <c r="J93" s="52"/>
      <c r="K93" s="8"/>
      <c r="L93" s="29">
        <f t="shared" si="19"/>
        <v>39685</v>
      </c>
      <c r="M93" s="29">
        <f t="shared" si="26"/>
        <v>37285</v>
      </c>
      <c r="N93" s="29">
        <f t="shared" si="20"/>
        <v>2400</v>
      </c>
      <c r="O93" s="29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>
        <f>3800*0.85-800</f>
        <v>2430</v>
      </c>
      <c r="AO93" s="31">
        <f>3800*0.85</f>
        <v>3230</v>
      </c>
      <c r="AP93" s="31">
        <f>3800*0.85/2</f>
        <v>1615</v>
      </c>
      <c r="AQ93" s="31">
        <f>3800*0.85/2</f>
        <v>1615</v>
      </c>
      <c r="AR93" s="31">
        <f>3800*0.85/2</f>
        <v>1615</v>
      </c>
      <c r="AS93" s="31">
        <f>3800*0.85</f>
        <v>3230</v>
      </c>
      <c r="AT93" s="31">
        <f t="shared" si="29"/>
        <v>3230</v>
      </c>
      <c r="AU93" s="31">
        <f t="shared" si="29"/>
        <v>3230</v>
      </c>
      <c r="AV93" s="31">
        <f t="shared" si="29"/>
        <v>3230</v>
      </c>
      <c r="AW93" s="31">
        <f t="shared" si="29"/>
        <v>3230</v>
      </c>
      <c r="AX93" s="31">
        <f t="shared" si="29"/>
        <v>3230</v>
      </c>
      <c r="AY93" s="31">
        <f t="shared" si="29"/>
        <v>3230</v>
      </c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9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>
        <f>400-45</f>
        <v>355</v>
      </c>
      <c r="CM93" s="31">
        <v>400</v>
      </c>
      <c r="CN93" s="31">
        <f>400-225</f>
        <v>175</v>
      </c>
      <c r="CO93" s="31">
        <f>400-195</f>
        <v>205</v>
      </c>
      <c r="CP93" s="31">
        <f>400-165</f>
        <v>235</v>
      </c>
      <c r="CQ93" s="31">
        <v>400</v>
      </c>
      <c r="CR93" s="31">
        <v>400</v>
      </c>
      <c r="CS93" s="31">
        <v>400</v>
      </c>
      <c r="CT93" s="31">
        <v>400</v>
      </c>
      <c r="CU93" s="31">
        <v>400</v>
      </c>
      <c r="CV93" s="31">
        <v>400</v>
      </c>
      <c r="CW93" s="31">
        <v>400</v>
      </c>
      <c r="CX93" s="180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182"/>
      <c r="DM93" s="182"/>
      <c r="DN93" s="182"/>
      <c r="DO93" s="182"/>
      <c r="DP93" s="182"/>
      <c r="DQ93" s="182"/>
      <c r="DR93" s="31"/>
      <c r="DS93" s="31"/>
      <c r="DT93" s="31"/>
      <c r="DU93" s="31"/>
      <c r="DV93" s="31"/>
      <c r="DW93" s="31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28"/>
    </row>
    <row r="94" spans="1:140" s="32" customFormat="1" ht="22.5" customHeight="1">
      <c r="A94" s="59">
        <v>92</v>
      </c>
      <c r="B94" s="59" t="s">
        <v>1069</v>
      </c>
      <c r="C94" s="51" t="s">
        <v>1327</v>
      </c>
      <c r="D94" s="50">
        <f t="shared" si="28"/>
        <v>2400</v>
      </c>
      <c r="E94" s="80" t="s">
        <v>1328</v>
      </c>
      <c r="F94" s="52" t="s">
        <v>1289</v>
      </c>
      <c r="G94" s="141">
        <f>5000*6*0.9+5000*6*0.9</f>
        <v>54000</v>
      </c>
      <c r="H94" s="52" t="s">
        <v>1329</v>
      </c>
      <c r="I94" s="89">
        <f>400*3+400+400-45+400*6</f>
        <v>4355</v>
      </c>
      <c r="J94" s="52" t="s">
        <v>1289</v>
      </c>
      <c r="K94" s="8">
        <f>400*6+400*6</f>
        <v>4800</v>
      </c>
      <c r="L94" s="29">
        <f t="shared" si="19"/>
        <v>65555</v>
      </c>
      <c r="M94" s="29">
        <f>SUM(O94:EI94)</f>
        <v>63155</v>
      </c>
      <c r="N94" s="29">
        <f t="shared" si="20"/>
        <v>2400</v>
      </c>
      <c r="O94" s="29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>
        <f t="shared" ref="AN94:AY95" si="30">5000*0.9</f>
        <v>4500</v>
      </c>
      <c r="AO94" s="31">
        <f t="shared" si="30"/>
        <v>4500</v>
      </c>
      <c r="AP94" s="31">
        <f t="shared" si="30"/>
        <v>4500</v>
      </c>
      <c r="AQ94" s="31">
        <f t="shared" si="30"/>
        <v>4500</v>
      </c>
      <c r="AR94" s="31">
        <f t="shared" si="30"/>
        <v>4500</v>
      </c>
      <c r="AS94" s="31">
        <f t="shared" si="30"/>
        <v>4500</v>
      </c>
      <c r="AT94" s="31">
        <f t="shared" si="30"/>
        <v>4500</v>
      </c>
      <c r="AU94" s="31">
        <f t="shared" si="30"/>
        <v>4500</v>
      </c>
      <c r="AV94" s="31">
        <f t="shared" si="30"/>
        <v>4500</v>
      </c>
      <c r="AW94" s="31">
        <f t="shared" si="30"/>
        <v>4500</v>
      </c>
      <c r="AX94" s="31">
        <f t="shared" si="30"/>
        <v>4500</v>
      </c>
      <c r="AY94" s="31">
        <f t="shared" si="30"/>
        <v>4500</v>
      </c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9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>
        <v>400</v>
      </c>
      <c r="CM94" s="31">
        <v>400</v>
      </c>
      <c r="CN94" s="31">
        <f>400-45</f>
        <v>355</v>
      </c>
      <c r="CO94" s="31">
        <v>400</v>
      </c>
      <c r="CP94" s="31">
        <v>400</v>
      </c>
      <c r="CQ94" s="31"/>
      <c r="CR94" s="31">
        <v>400</v>
      </c>
      <c r="CS94" s="31">
        <v>400</v>
      </c>
      <c r="CT94" s="31">
        <v>400</v>
      </c>
      <c r="CU94" s="31">
        <v>400</v>
      </c>
      <c r="CV94" s="31">
        <v>400</v>
      </c>
      <c r="CW94" s="31">
        <v>400</v>
      </c>
      <c r="CX94" s="180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182"/>
      <c r="DM94" s="182"/>
      <c r="DN94" s="182"/>
      <c r="DO94" s="182"/>
      <c r="DP94" s="182"/>
      <c r="DQ94" s="182"/>
      <c r="DR94" s="31"/>
      <c r="DS94" s="31"/>
      <c r="DT94" s="31"/>
      <c r="DU94" s="31"/>
      <c r="DV94" s="31"/>
      <c r="DW94" s="31"/>
      <c r="DX94" s="31">
        <v>400</v>
      </c>
      <c r="DY94" s="31">
        <v>400</v>
      </c>
      <c r="DZ94" s="31">
        <v>400</v>
      </c>
      <c r="EA94" s="31">
        <v>400</v>
      </c>
      <c r="EB94" s="31">
        <v>400</v>
      </c>
      <c r="EC94" s="31">
        <v>400</v>
      </c>
      <c r="ED94" s="31">
        <v>400</v>
      </c>
      <c r="EE94" s="31">
        <v>400</v>
      </c>
      <c r="EF94" s="31">
        <v>400</v>
      </c>
      <c r="EG94" s="31">
        <v>400</v>
      </c>
      <c r="EH94" s="31">
        <v>400</v>
      </c>
      <c r="EI94" s="31">
        <v>400</v>
      </c>
      <c r="EJ94" s="28"/>
    </row>
    <row r="95" spans="1:140" s="32" customFormat="1" ht="22.5" customHeight="1">
      <c r="A95" s="59">
        <v>93</v>
      </c>
      <c r="B95" s="59" t="s">
        <v>1069</v>
      </c>
      <c r="C95" s="51" t="s">
        <v>1330</v>
      </c>
      <c r="D95" s="50">
        <f t="shared" si="28"/>
        <v>2400</v>
      </c>
      <c r="E95" s="80" t="s">
        <v>1331</v>
      </c>
      <c r="F95" s="52" t="s">
        <v>1289</v>
      </c>
      <c r="G95" s="141">
        <f>5000*6*0.9+5000*6*0.9</f>
        <v>54000</v>
      </c>
      <c r="H95" s="52" t="s">
        <v>1329</v>
      </c>
      <c r="I95" s="89">
        <f>400*3+400+400+400*6</f>
        <v>4400</v>
      </c>
      <c r="J95" s="52" t="s">
        <v>1289</v>
      </c>
      <c r="K95" s="8">
        <f>400*6+400*6</f>
        <v>4800</v>
      </c>
      <c r="L95" s="29">
        <f t="shared" si="19"/>
        <v>65600</v>
      </c>
      <c r="M95" s="29">
        <f>SUM(O95:EI95)</f>
        <v>63200</v>
      </c>
      <c r="N95" s="29">
        <f t="shared" si="20"/>
        <v>2400</v>
      </c>
      <c r="O95" s="29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>
        <f t="shared" si="30"/>
        <v>4500</v>
      </c>
      <c r="AO95" s="31">
        <f t="shared" si="30"/>
        <v>4500</v>
      </c>
      <c r="AP95" s="31">
        <f t="shared" si="30"/>
        <v>4500</v>
      </c>
      <c r="AQ95" s="31">
        <f t="shared" si="30"/>
        <v>4500</v>
      </c>
      <c r="AR95" s="31">
        <f t="shared" si="30"/>
        <v>4500</v>
      </c>
      <c r="AS95" s="31">
        <f t="shared" si="30"/>
        <v>4500</v>
      </c>
      <c r="AT95" s="31">
        <f t="shared" si="30"/>
        <v>4500</v>
      </c>
      <c r="AU95" s="31">
        <f t="shared" si="30"/>
        <v>4500</v>
      </c>
      <c r="AV95" s="31">
        <f t="shared" si="30"/>
        <v>4500</v>
      </c>
      <c r="AW95" s="31">
        <f t="shared" si="30"/>
        <v>4500</v>
      </c>
      <c r="AX95" s="31">
        <f t="shared" si="30"/>
        <v>4500</v>
      </c>
      <c r="AY95" s="31">
        <f t="shared" si="30"/>
        <v>4500</v>
      </c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9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>
        <v>400</v>
      </c>
      <c r="CM95" s="31">
        <v>400</v>
      </c>
      <c r="CN95" s="31">
        <v>400</v>
      </c>
      <c r="CO95" s="31">
        <v>400</v>
      </c>
      <c r="CP95" s="31">
        <v>400</v>
      </c>
      <c r="CQ95" s="31"/>
      <c r="CR95" s="31">
        <v>400</v>
      </c>
      <c r="CS95" s="31">
        <v>400</v>
      </c>
      <c r="CT95" s="31">
        <v>400</v>
      </c>
      <c r="CU95" s="31">
        <v>400</v>
      </c>
      <c r="CV95" s="31">
        <v>400</v>
      </c>
      <c r="CW95" s="31">
        <v>400</v>
      </c>
      <c r="CX95" s="180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182"/>
      <c r="DM95" s="182"/>
      <c r="DN95" s="182"/>
      <c r="DO95" s="182"/>
      <c r="DP95" s="182"/>
      <c r="DQ95" s="182"/>
      <c r="DR95" s="31"/>
      <c r="DS95" s="31"/>
      <c r="DT95" s="31"/>
      <c r="DU95" s="31"/>
      <c r="DV95" s="31"/>
      <c r="DW95" s="31"/>
      <c r="DX95" s="31">
        <v>400</v>
      </c>
      <c r="DY95" s="31">
        <v>400</v>
      </c>
      <c r="DZ95" s="31">
        <v>400</v>
      </c>
      <c r="EA95" s="31">
        <v>400</v>
      </c>
      <c r="EB95" s="31">
        <v>400</v>
      </c>
      <c r="EC95" s="31">
        <v>400</v>
      </c>
      <c r="ED95" s="31">
        <v>400</v>
      </c>
      <c r="EE95" s="31">
        <v>400</v>
      </c>
      <c r="EF95" s="31">
        <v>400</v>
      </c>
      <c r="EG95" s="31">
        <v>400</v>
      </c>
      <c r="EH95" s="31">
        <v>400</v>
      </c>
      <c r="EI95" s="31">
        <v>400</v>
      </c>
      <c r="EJ95" s="28"/>
    </row>
    <row r="96" spans="1:140" s="32" customFormat="1" ht="22.5" customHeight="1">
      <c r="A96" s="59">
        <v>94</v>
      </c>
      <c r="B96" s="59" t="s">
        <v>1069</v>
      </c>
      <c r="C96" s="51" t="s">
        <v>1332</v>
      </c>
      <c r="D96" s="50">
        <f t="shared" si="28"/>
        <v>2400</v>
      </c>
      <c r="E96" s="80" t="s">
        <v>1333</v>
      </c>
      <c r="F96" s="52" t="s">
        <v>1289</v>
      </c>
      <c r="G96" s="141">
        <f>3800*6*0.85-2730+3800*6*0.85-2730-2730-2730</f>
        <v>27840</v>
      </c>
      <c r="H96" s="52" t="s">
        <v>1290</v>
      </c>
      <c r="I96" s="89">
        <f>400+400+400+400-45-400+400*6-400</f>
        <v>3155</v>
      </c>
      <c r="J96" s="52"/>
      <c r="K96" s="8"/>
      <c r="L96" s="29">
        <f t="shared" si="19"/>
        <v>33395</v>
      </c>
      <c r="M96" s="29">
        <f t="shared" si="26"/>
        <v>30995</v>
      </c>
      <c r="N96" s="29">
        <f t="shared" si="20"/>
        <v>2400</v>
      </c>
      <c r="O96" s="29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>
        <f>3800*0.85</f>
        <v>3230</v>
      </c>
      <c r="AO96" s="31">
        <f>3800*0.85</f>
        <v>3230</v>
      </c>
      <c r="AP96" s="31">
        <f>3800*0.85-2730</f>
        <v>500</v>
      </c>
      <c r="AQ96" s="31">
        <f>3800*0.85-2730</f>
        <v>500</v>
      </c>
      <c r="AR96" s="31">
        <f>3800*0.85-2730</f>
        <v>500</v>
      </c>
      <c r="AS96" s="31">
        <f>3800*0.85-2730</f>
        <v>500</v>
      </c>
      <c r="AT96" s="31">
        <f t="shared" ref="AT96:AY100" si="31">3800*0.85</f>
        <v>3230</v>
      </c>
      <c r="AU96" s="31">
        <f t="shared" si="31"/>
        <v>3230</v>
      </c>
      <c r="AV96" s="31">
        <f t="shared" si="31"/>
        <v>3230</v>
      </c>
      <c r="AW96" s="31">
        <f t="shared" si="31"/>
        <v>3230</v>
      </c>
      <c r="AX96" s="31">
        <f t="shared" si="31"/>
        <v>3230</v>
      </c>
      <c r="AY96" s="31">
        <f t="shared" si="31"/>
        <v>3230</v>
      </c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9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>
        <v>400</v>
      </c>
      <c r="CM96" s="31">
        <f>400-45</f>
        <v>355</v>
      </c>
      <c r="CN96" s="31">
        <f>400-400</f>
        <v>0</v>
      </c>
      <c r="CO96" s="31"/>
      <c r="CP96" s="31"/>
      <c r="CQ96" s="31">
        <f>400-400</f>
        <v>0</v>
      </c>
      <c r="CR96" s="31">
        <v>400</v>
      </c>
      <c r="CS96" s="31">
        <v>400</v>
      </c>
      <c r="CT96" s="31">
        <v>400</v>
      </c>
      <c r="CU96" s="31">
        <v>400</v>
      </c>
      <c r="CV96" s="31">
        <v>400</v>
      </c>
      <c r="CW96" s="31">
        <v>400</v>
      </c>
      <c r="CX96" s="180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182"/>
      <c r="DM96" s="182"/>
      <c r="DN96" s="182"/>
      <c r="DO96" s="182"/>
      <c r="DP96" s="182"/>
      <c r="DQ96" s="182"/>
      <c r="DR96" s="31"/>
      <c r="DS96" s="31"/>
      <c r="DT96" s="31"/>
      <c r="DU96" s="31"/>
      <c r="DV96" s="31"/>
      <c r="DW96" s="31"/>
      <c r="DX96" s="31"/>
      <c r="DY96" s="31"/>
      <c r="DZ96" s="31"/>
      <c r="EA96" s="31"/>
      <c r="EB96" s="31"/>
      <c r="EC96" s="31"/>
      <c r="ED96" s="31"/>
      <c r="EE96" s="31"/>
      <c r="EF96" s="31"/>
      <c r="EG96" s="31"/>
      <c r="EH96" s="31"/>
      <c r="EI96" s="31"/>
      <c r="EJ96" s="28"/>
    </row>
    <row r="97" spans="1:140" s="32" customFormat="1" ht="22.5" customHeight="1">
      <c r="A97" s="59">
        <v>95</v>
      </c>
      <c r="B97" s="59" t="s">
        <v>1069</v>
      </c>
      <c r="C97" s="51" t="s">
        <v>1334</v>
      </c>
      <c r="D97" s="50">
        <f t="shared" si="28"/>
        <v>2400</v>
      </c>
      <c r="E97" s="80" t="s">
        <v>1335</v>
      </c>
      <c r="F97" s="52" t="s">
        <v>1289</v>
      </c>
      <c r="G97" s="141">
        <f>3800*6*0.85+3800*6*0.85</f>
        <v>38760</v>
      </c>
      <c r="H97" s="52" t="s">
        <v>1289</v>
      </c>
      <c r="I97" s="89">
        <f>400+400+400+400+400+400*7-60</f>
        <v>4740</v>
      </c>
      <c r="J97" s="52" t="s">
        <v>1289</v>
      </c>
      <c r="K97" s="8">
        <f>400*6+400*6</f>
        <v>4800</v>
      </c>
      <c r="L97" s="29">
        <f t="shared" si="19"/>
        <v>50700</v>
      </c>
      <c r="M97" s="29">
        <f>SUM(O97:EI97)</f>
        <v>48300</v>
      </c>
      <c r="N97" s="29">
        <f t="shared" si="20"/>
        <v>2400</v>
      </c>
      <c r="O97" s="29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>
        <f>3800*0.85</f>
        <v>3230</v>
      </c>
      <c r="AO97" s="31">
        <f>3800*0.85</f>
        <v>3230</v>
      </c>
      <c r="AP97" s="31">
        <f t="shared" ref="AP97:AS99" si="32">3800*0.85</f>
        <v>3230</v>
      </c>
      <c r="AQ97" s="31">
        <f t="shared" si="32"/>
        <v>3230</v>
      </c>
      <c r="AR97" s="31">
        <f t="shared" si="32"/>
        <v>3230</v>
      </c>
      <c r="AS97" s="31">
        <f t="shared" si="32"/>
        <v>3230</v>
      </c>
      <c r="AT97" s="31">
        <f t="shared" si="31"/>
        <v>3230</v>
      </c>
      <c r="AU97" s="31">
        <f t="shared" si="31"/>
        <v>3230</v>
      </c>
      <c r="AV97" s="31">
        <f t="shared" si="31"/>
        <v>3230</v>
      </c>
      <c r="AW97" s="31">
        <f t="shared" si="31"/>
        <v>3230</v>
      </c>
      <c r="AX97" s="31">
        <f t="shared" si="31"/>
        <v>3230</v>
      </c>
      <c r="AY97" s="31">
        <f t="shared" si="31"/>
        <v>3230</v>
      </c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9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>
        <v>400</v>
      </c>
      <c r="CM97" s="31">
        <v>400</v>
      </c>
      <c r="CN97" s="31">
        <v>400</v>
      </c>
      <c r="CO97" s="31">
        <v>400</v>
      </c>
      <c r="CP97" s="31">
        <f>400-60</f>
        <v>340</v>
      </c>
      <c r="CQ97" s="31">
        <v>400</v>
      </c>
      <c r="CR97" s="31">
        <v>400</v>
      </c>
      <c r="CS97" s="31">
        <v>400</v>
      </c>
      <c r="CT97" s="31">
        <v>400</v>
      </c>
      <c r="CU97" s="31">
        <v>400</v>
      </c>
      <c r="CV97" s="31">
        <v>400</v>
      </c>
      <c r="CW97" s="31">
        <v>400</v>
      </c>
      <c r="CX97" s="180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182"/>
      <c r="DM97" s="182"/>
      <c r="DN97" s="182"/>
      <c r="DO97" s="182"/>
      <c r="DP97" s="182"/>
      <c r="DQ97" s="182"/>
      <c r="DR97" s="31"/>
      <c r="DS97" s="31"/>
      <c r="DT97" s="31"/>
      <c r="DU97" s="31"/>
      <c r="DV97" s="31"/>
      <c r="DW97" s="31"/>
      <c r="DX97" s="31">
        <v>400</v>
      </c>
      <c r="DY97" s="31">
        <v>400</v>
      </c>
      <c r="DZ97" s="31">
        <v>400</v>
      </c>
      <c r="EA97" s="31">
        <v>400</v>
      </c>
      <c r="EB97" s="31">
        <v>400</v>
      </c>
      <c r="EC97" s="31">
        <v>400</v>
      </c>
      <c r="ED97" s="31">
        <v>400</v>
      </c>
      <c r="EE97" s="31">
        <v>400</v>
      </c>
      <c r="EF97" s="31">
        <v>400</v>
      </c>
      <c r="EG97" s="31">
        <v>400</v>
      </c>
      <c r="EH97" s="31">
        <v>400</v>
      </c>
      <c r="EI97" s="31">
        <v>400</v>
      </c>
      <c r="EJ97" s="28"/>
    </row>
    <row r="98" spans="1:140" s="32" customFormat="1" ht="22.5" customHeight="1">
      <c r="A98" s="59">
        <v>96</v>
      </c>
      <c r="B98" s="59" t="s">
        <v>1069</v>
      </c>
      <c r="C98" s="51" t="s">
        <v>1336</v>
      </c>
      <c r="D98" s="50">
        <f t="shared" si="28"/>
        <v>2400</v>
      </c>
      <c r="E98" s="80" t="s">
        <v>1337</v>
      </c>
      <c r="F98" s="52" t="s">
        <v>1289</v>
      </c>
      <c r="G98" s="141">
        <f>3800*6*0.85-800+3800*6*0.85</f>
        <v>37960</v>
      </c>
      <c r="H98" s="52" t="s">
        <v>1289</v>
      </c>
      <c r="I98" s="89">
        <f>400*6+400*6-45-90</f>
        <v>4665</v>
      </c>
      <c r="J98" s="52" t="s">
        <v>1289</v>
      </c>
      <c r="K98" s="8">
        <f>400*6+400*6</f>
        <v>4800</v>
      </c>
      <c r="L98" s="29">
        <f t="shared" si="19"/>
        <v>49825</v>
      </c>
      <c r="M98" s="29">
        <f>SUM(O98:EI98)</f>
        <v>47425</v>
      </c>
      <c r="N98" s="29">
        <f t="shared" si="20"/>
        <v>2400</v>
      </c>
      <c r="O98" s="29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>
        <f>3800*0.85-800</f>
        <v>2430</v>
      </c>
      <c r="AO98" s="31">
        <f>3800*0.85</f>
        <v>3230</v>
      </c>
      <c r="AP98" s="31">
        <f t="shared" si="32"/>
        <v>3230</v>
      </c>
      <c r="AQ98" s="31">
        <f t="shared" si="32"/>
        <v>3230</v>
      </c>
      <c r="AR98" s="31">
        <f t="shared" si="32"/>
        <v>3230</v>
      </c>
      <c r="AS98" s="31">
        <f t="shared" si="32"/>
        <v>3230</v>
      </c>
      <c r="AT98" s="31">
        <f t="shared" si="31"/>
        <v>3230</v>
      </c>
      <c r="AU98" s="31">
        <f t="shared" si="31"/>
        <v>3230</v>
      </c>
      <c r="AV98" s="31">
        <f t="shared" si="31"/>
        <v>3230</v>
      </c>
      <c r="AW98" s="31">
        <f t="shared" si="31"/>
        <v>3230</v>
      </c>
      <c r="AX98" s="31">
        <f t="shared" si="31"/>
        <v>3230</v>
      </c>
      <c r="AY98" s="31">
        <f t="shared" si="31"/>
        <v>3230</v>
      </c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9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>
        <f>400-45</f>
        <v>355</v>
      </c>
      <c r="CM98" s="31">
        <v>400</v>
      </c>
      <c r="CN98" s="31">
        <f>400-90</f>
        <v>310</v>
      </c>
      <c r="CO98" s="31">
        <v>400</v>
      </c>
      <c r="CP98" s="31">
        <v>400</v>
      </c>
      <c r="CQ98" s="31">
        <v>400</v>
      </c>
      <c r="CR98" s="31">
        <v>400</v>
      </c>
      <c r="CS98" s="31">
        <v>400</v>
      </c>
      <c r="CT98" s="31">
        <v>400</v>
      </c>
      <c r="CU98" s="31">
        <v>400</v>
      </c>
      <c r="CV98" s="31">
        <v>400</v>
      </c>
      <c r="CW98" s="31">
        <v>400</v>
      </c>
      <c r="CX98" s="180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182"/>
      <c r="DM98" s="182"/>
      <c r="DN98" s="182"/>
      <c r="DO98" s="182"/>
      <c r="DP98" s="182"/>
      <c r="DQ98" s="182"/>
      <c r="DR98" s="31"/>
      <c r="DS98" s="31"/>
      <c r="DT98" s="31"/>
      <c r="DU98" s="31"/>
      <c r="DV98" s="31"/>
      <c r="DW98" s="31"/>
      <c r="DX98" s="31">
        <v>400</v>
      </c>
      <c r="DY98" s="31">
        <v>400</v>
      </c>
      <c r="DZ98" s="31">
        <v>400</v>
      </c>
      <c r="EA98" s="31">
        <v>400</v>
      </c>
      <c r="EB98" s="31">
        <v>400</v>
      </c>
      <c r="EC98" s="31">
        <v>400</v>
      </c>
      <c r="ED98" s="31">
        <v>400</v>
      </c>
      <c r="EE98" s="31">
        <v>400</v>
      </c>
      <c r="EF98" s="31">
        <v>400</v>
      </c>
      <c r="EG98" s="31">
        <v>400</v>
      </c>
      <c r="EH98" s="31">
        <v>400</v>
      </c>
      <c r="EI98" s="31">
        <v>400</v>
      </c>
      <c r="EJ98" s="28"/>
    </row>
    <row r="99" spans="1:140" s="32" customFormat="1" ht="22.5" customHeight="1">
      <c r="A99" s="59">
        <v>97</v>
      </c>
      <c r="B99" s="59" t="s">
        <v>1069</v>
      </c>
      <c r="C99" s="51" t="s">
        <v>1338</v>
      </c>
      <c r="D99" s="50">
        <f t="shared" si="28"/>
        <v>2400</v>
      </c>
      <c r="E99" s="80" t="s">
        <v>1339</v>
      </c>
      <c r="F99" s="52" t="s">
        <v>1289</v>
      </c>
      <c r="G99" s="141">
        <f>3800*6*0.85+3800*6*0.85</f>
        <v>38760</v>
      </c>
      <c r="H99" s="52" t="s">
        <v>1289</v>
      </c>
      <c r="I99" s="89">
        <f>400*2+400*2+400*2-45+400*6</f>
        <v>4755</v>
      </c>
      <c r="J99" s="52"/>
      <c r="K99" s="8"/>
      <c r="L99" s="29">
        <f t="shared" si="19"/>
        <v>45915</v>
      </c>
      <c r="M99" s="29">
        <f t="shared" ref="M99:M149" si="33">SUM(O99:EI99)</f>
        <v>43515</v>
      </c>
      <c r="N99" s="29">
        <f t="shared" si="20"/>
        <v>2400</v>
      </c>
      <c r="O99" s="29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>
        <f>3800*0.85</f>
        <v>3230</v>
      </c>
      <c r="AO99" s="31">
        <f>3800*0.85</f>
        <v>3230</v>
      </c>
      <c r="AP99" s="31">
        <f t="shared" si="32"/>
        <v>3230</v>
      </c>
      <c r="AQ99" s="31">
        <f t="shared" si="32"/>
        <v>3230</v>
      </c>
      <c r="AR99" s="31">
        <f t="shared" si="32"/>
        <v>3230</v>
      </c>
      <c r="AS99" s="31">
        <f t="shared" si="32"/>
        <v>3230</v>
      </c>
      <c r="AT99" s="31">
        <f t="shared" si="31"/>
        <v>3230</v>
      </c>
      <c r="AU99" s="31">
        <f t="shared" si="31"/>
        <v>3230</v>
      </c>
      <c r="AV99" s="31">
        <f t="shared" si="31"/>
        <v>3230</v>
      </c>
      <c r="AW99" s="31">
        <f t="shared" si="31"/>
        <v>3230</v>
      </c>
      <c r="AX99" s="31">
        <f t="shared" si="31"/>
        <v>3230</v>
      </c>
      <c r="AY99" s="31">
        <f t="shared" si="31"/>
        <v>3230</v>
      </c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9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>
        <f>400-45</f>
        <v>355</v>
      </c>
      <c r="CM99" s="31">
        <v>400</v>
      </c>
      <c r="CN99" s="31">
        <v>400</v>
      </c>
      <c r="CO99" s="31">
        <v>400</v>
      </c>
      <c r="CP99" s="31">
        <v>400</v>
      </c>
      <c r="CQ99" s="31">
        <v>400</v>
      </c>
      <c r="CR99" s="31">
        <v>400</v>
      </c>
      <c r="CS99" s="31">
        <v>400</v>
      </c>
      <c r="CT99" s="31">
        <v>400</v>
      </c>
      <c r="CU99" s="31">
        <v>400</v>
      </c>
      <c r="CV99" s="31">
        <v>400</v>
      </c>
      <c r="CW99" s="31">
        <v>400</v>
      </c>
      <c r="CX99" s="180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182"/>
      <c r="DM99" s="182"/>
      <c r="DN99" s="182"/>
      <c r="DO99" s="182"/>
      <c r="DP99" s="182"/>
      <c r="DQ99" s="182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28"/>
    </row>
    <row r="100" spans="1:140" s="32" customFormat="1" ht="22.5" customHeight="1">
      <c r="A100" s="59">
        <v>98</v>
      </c>
      <c r="B100" s="59" t="s">
        <v>1069</v>
      </c>
      <c r="C100" s="51" t="s">
        <v>1340</v>
      </c>
      <c r="D100" s="50">
        <f t="shared" si="28"/>
        <v>2400</v>
      </c>
      <c r="E100" s="80" t="s">
        <v>1341</v>
      </c>
      <c r="F100" s="52" t="s">
        <v>1289</v>
      </c>
      <c r="G100" s="141">
        <f>3800*6*0.85+3800*6*0.85-2730</f>
        <v>36030</v>
      </c>
      <c r="H100" s="52" t="s">
        <v>1329</v>
      </c>
      <c r="I100" s="89">
        <f>400+400*3+400+400*6</f>
        <v>4400</v>
      </c>
      <c r="J100" s="52"/>
      <c r="K100" s="8"/>
      <c r="L100" s="29">
        <f t="shared" si="19"/>
        <v>42830</v>
      </c>
      <c r="M100" s="29">
        <f t="shared" si="33"/>
        <v>40430</v>
      </c>
      <c r="N100" s="29">
        <f t="shared" si="20"/>
        <v>2400</v>
      </c>
      <c r="O100" s="29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>
        <f>3800*0.85</f>
        <v>3230</v>
      </c>
      <c r="AO100" s="31">
        <f>3800*0.85</f>
        <v>3230</v>
      </c>
      <c r="AP100" s="31">
        <f>3800*0.85</f>
        <v>3230</v>
      </c>
      <c r="AQ100" s="31">
        <f>3800*0.85</f>
        <v>3230</v>
      </c>
      <c r="AR100" s="31">
        <f>3800*0.85</f>
        <v>3230</v>
      </c>
      <c r="AS100" s="31">
        <f>3800*0.85-2730</f>
        <v>500</v>
      </c>
      <c r="AT100" s="31">
        <f t="shared" si="31"/>
        <v>3230</v>
      </c>
      <c r="AU100" s="31">
        <f t="shared" si="31"/>
        <v>3230</v>
      </c>
      <c r="AV100" s="31">
        <f t="shared" si="31"/>
        <v>3230</v>
      </c>
      <c r="AW100" s="31">
        <f t="shared" si="31"/>
        <v>3230</v>
      </c>
      <c r="AX100" s="31">
        <f t="shared" si="31"/>
        <v>3230</v>
      </c>
      <c r="AY100" s="31">
        <f t="shared" si="31"/>
        <v>3230</v>
      </c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9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>
        <v>400</v>
      </c>
      <c r="CM100" s="31">
        <v>400</v>
      </c>
      <c r="CN100" s="31">
        <v>400</v>
      </c>
      <c r="CO100" s="31">
        <v>400</v>
      </c>
      <c r="CP100" s="31">
        <v>400</v>
      </c>
      <c r="CQ100" s="31"/>
      <c r="CR100" s="31">
        <v>400</v>
      </c>
      <c r="CS100" s="31">
        <v>400</v>
      </c>
      <c r="CT100" s="31">
        <v>400</v>
      </c>
      <c r="CU100" s="31">
        <v>400</v>
      </c>
      <c r="CV100" s="31">
        <v>400</v>
      </c>
      <c r="CW100" s="31">
        <v>400</v>
      </c>
      <c r="CX100" s="180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182"/>
      <c r="DM100" s="182"/>
      <c r="DN100" s="182"/>
      <c r="DO100" s="182"/>
      <c r="DP100" s="182"/>
      <c r="DQ100" s="182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28"/>
    </row>
    <row r="101" spans="1:140" s="32" customFormat="1" ht="22.5" customHeight="1">
      <c r="A101" s="59">
        <v>99</v>
      </c>
      <c r="B101" s="59" t="s">
        <v>1069</v>
      </c>
      <c r="C101" s="51" t="s">
        <v>1342</v>
      </c>
      <c r="D101" s="50">
        <f t="shared" si="28"/>
        <v>2400</v>
      </c>
      <c r="E101" s="80" t="s">
        <v>1343</v>
      </c>
      <c r="F101" s="52" t="s">
        <v>1289</v>
      </c>
      <c r="G101" s="141">
        <f>5000*6*0.5-1250+5000*6*0.5</f>
        <v>28750</v>
      </c>
      <c r="H101" s="52" t="s">
        <v>1289</v>
      </c>
      <c r="I101" s="89">
        <f>400+400+325+400*2-75-165+400*7</f>
        <v>4485</v>
      </c>
      <c r="J101" s="52"/>
      <c r="K101" s="8"/>
      <c r="L101" s="29">
        <f t="shared" si="19"/>
        <v>35635</v>
      </c>
      <c r="M101" s="29">
        <f t="shared" si="33"/>
        <v>33235</v>
      </c>
      <c r="N101" s="29">
        <f t="shared" si="20"/>
        <v>2400</v>
      </c>
      <c r="O101" s="29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>
        <f>5000*0.5</f>
        <v>2500</v>
      </c>
      <c r="AO101" s="31">
        <f>5000*0.5/2</f>
        <v>1250</v>
      </c>
      <c r="AP101" s="31">
        <f t="shared" ref="AP101:AY101" si="34">5000*0.5</f>
        <v>2500</v>
      </c>
      <c r="AQ101" s="31">
        <f t="shared" si="34"/>
        <v>2500</v>
      </c>
      <c r="AR101" s="31">
        <f t="shared" si="34"/>
        <v>2500</v>
      </c>
      <c r="AS101" s="31">
        <f t="shared" si="34"/>
        <v>2500</v>
      </c>
      <c r="AT101" s="31">
        <f t="shared" si="34"/>
        <v>2500</v>
      </c>
      <c r="AU101" s="31">
        <f t="shared" si="34"/>
        <v>2500</v>
      </c>
      <c r="AV101" s="31">
        <f t="shared" si="34"/>
        <v>2500</v>
      </c>
      <c r="AW101" s="31">
        <f t="shared" si="34"/>
        <v>2500</v>
      </c>
      <c r="AX101" s="31">
        <f t="shared" si="34"/>
        <v>2500</v>
      </c>
      <c r="AY101" s="31">
        <f t="shared" si="34"/>
        <v>2500</v>
      </c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9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>
        <f>400-75</f>
        <v>325</v>
      </c>
      <c r="CM101" s="31">
        <f>400-165</f>
        <v>235</v>
      </c>
      <c r="CN101" s="31">
        <v>325</v>
      </c>
      <c r="CO101" s="31">
        <v>400</v>
      </c>
      <c r="CP101" s="31">
        <v>400</v>
      </c>
      <c r="CQ101" s="31">
        <v>400</v>
      </c>
      <c r="CR101" s="31">
        <v>400</v>
      </c>
      <c r="CS101" s="31">
        <v>400</v>
      </c>
      <c r="CT101" s="31">
        <v>400</v>
      </c>
      <c r="CU101" s="31">
        <v>400</v>
      </c>
      <c r="CV101" s="31">
        <v>400</v>
      </c>
      <c r="CW101" s="31">
        <v>400</v>
      </c>
      <c r="CX101" s="180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182"/>
      <c r="DM101" s="182"/>
      <c r="DN101" s="182"/>
      <c r="DO101" s="182"/>
      <c r="DP101" s="182"/>
      <c r="DQ101" s="182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28"/>
    </row>
    <row r="102" spans="1:140" s="32" customFormat="1" ht="22.5" customHeight="1">
      <c r="A102" s="59">
        <v>100</v>
      </c>
      <c r="B102" s="59" t="s">
        <v>1069</v>
      </c>
      <c r="C102" s="51" t="s">
        <v>1344</v>
      </c>
      <c r="D102" s="50">
        <f>1200+600+600</f>
        <v>2400</v>
      </c>
      <c r="E102" s="80" t="s">
        <v>1345</v>
      </c>
      <c r="F102" s="52" t="s">
        <v>1289</v>
      </c>
      <c r="G102" s="141">
        <f>3800*6*0.9-1710-2920-2920-2920-2920+3800*6*0.9-2920</f>
        <v>24730</v>
      </c>
      <c r="H102" s="52" t="s">
        <v>1346</v>
      </c>
      <c r="I102" s="89">
        <f>400+400-120-210+400*5</f>
        <v>2470</v>
      </c>
      <c r="J102" s="52"/>
      <c r="K102" s="8"/>
      <c r="L102" s="29">
        <f t="shared" si="19"/>
        <v>29600</v>
      </c>
      <c r="M102" s="29">
        <f t="shared" si="33"/>
        <v>27200</v>
      </c>
      <c r="N102" s="29">
        <f t="shared" si="20"/>
        <v>2400</v>
      </c>
      <c r="O102" s="29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>
        <f t="shared" ref="AN102:AY104" si="35">3800*0.9</f>
        <v>3420</v>
      </c>
      <c r="AO102" s="31">
        <f>3800*0.9-1710</f>
        <v>1710</v>
      </c>
      <c r="AP102" s="31">
        <f>3800*0.9-2920</f>
        <v>500</v>
      </c>
      <c r="AQ102" s="31">
        <f>3800*0.9-2920</f>
        <v>500</v>
      </c>
      <c r="AR102" s="31">
        <f>3800*0.9-2920</f>
        <v>500</v>
      </c>
      <c r="AS102" s="31">
        <f>3800*0.9-2920</f>
        <v>500</v>
      </c>
      <c r="AT102" s="31">
        <f>3800*0.9-2920</f>
        <v>500</v>
      </c>
      <c r="AU102" s="31">
        <f>3800*0.9</f>
        <v>3420</v>
      </c>
      <c r="AV102" s="31">
        <f>3800*0.9</f>
        <v>3420</v>
      </c>
      <c r="AW102" s="31">
        <f>3800*0.9</f>
        <v>3420</v>
      </c>
      <c r="AX102" s="31">
        <f>3800*0.9</f>
        <v>3420</v>
      </c>
      <c r="AY102" s="31">
        <f>3800*0.9</f>
        <v>3420</v>
      </c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9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>
        <f>400-120</f>
        <v>280</v>
      </c>
      <c r="CM102" s="31">
        <f>400-210</f>
        <v>190</v>
      </c>
      <c r="CN102" s="31"/>
      <c r="CO102" s="31"/>
      <c r="CP102" s="31"/>
      <c r="CQ102" s="31"/>
      <c r="CR102" s="31"/>
      <c r="CS102" s="31">
        <v>400</v>
      </c>
      <c r="CT102" s="31">
        <v>400</v>
      </c>
      <c r="CU102" s="31">
        <v>400</v>
      </c>
      <c r="CV102" s="31">
        <v>400</v>
      </c>
      <c r="CW102" s="31">
        <v>400</v>
      </c>
      <c r="CX102" s="180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182"/>
      <c r="DM102" s="182"/>
      <c r="DN102" s="182"/>
      <c r="DO102" s="182"/>
      <c r="DP102" s="182"/>
      <c r="DQ102" s="182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28"/>
    </row>
    <row r="103" spans="1:140" s="32" customFormat="1" ht="22.5" customHeight="1">
      <c r="A103" s="59">
        <v>101</v>
      </c>
      <c r="B103" s="59" t="s">
        <v>1069</v>
      </c>
      <c r="C103" s="51" t="s">
        <v>1347</v>
      </c>
      <c r="D103" s="50">
        <f t="shared" ref="D103:D109" si="36">1200+600+600</f>
        <v>2400</v>
      </c>
      <c r="E103" s="80" t="s">
        <v>1348</v>
      </c>
      <c r="F103" s="52" t="s">
        <v>1289</v>
      </c>
      <c r="G103" s="141">
        <f>3800*6*0.9+3800*6*0.9-1710-2920</f>
        <v>36410</v>
      </c>
      <c r="H103" s="52" t="s">
        <v>1329</v>
      </c>
      <c r="I103" s="89">
        <f>400+400+400+400*2-150+400*6-195</f>
        <v>4055</v>
      </c>
      <c r="J103" s="52"/>
      <c r="K103" s="8"/>
      <c r="L103" s="29">
        <f t="shared" si="19"/>
        <v>42865</v>
      </c>
      <c r="M103" s="29">
        <f t="shared" si="33"/>
        <v>40465</v>
      </c>
      <c r="N103" s="29">
        <f t="shared" si="20"/>
        <v>2400</v>
      </c>
      <c r="O103" s="29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>
        <f t="shared" si="35"/>
        <v>3420</v>
      </c>
      <c r="AO103" s="31">
        <f t="shared" si="35"/>
        <v>3420</v>
      </c>
      <c r="AP103" s="31">
        <f t="shared" si="35"/>
        <v>3420</v>
      </c>
      <c r="AQ103" s="31">
        <f t="shared" si="35"/>
        <v>3420</v>
      </c>
      <c r="AR103" s="31">
        <f>3800*0.9/2</f>
        <v>1710</v>
      </c>
      <c r="AS103" s="31">
        <f>3800*0.9-2920</f>
        <v>500</v>
      </c>
      <c r="AT103" s="31">
        <f t="shared" si="35"/>
        <v>3420</v>
      </c>
      <c r="AU103" s="31">
        <f t="shared" si="35"/>
        <v>3420</v>
      </c>
      <c r="AV103" s="31">
        <f t="shared" si="35"/>
        <v>3420</v>
      </c>
      <c r="AW103" s="31">
        <f t="shared" si="35"/>
        <v>3420</v>
      </c>
      <c r="AX103" s="31">
        <f t="shared" si="35"/>
        <v>3420</v>
      </c>
      <c r="AY103" s="31">
        <f t="shared" si="35"/>
        <v>3420</v>
      </c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9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>
        <v>400</v>
      </c>
      <c r="CM103" s="31">
        <v>400</v>
      </c>
      <c r="CN103" s="31">
        <f>400-150</f>
        <v>250</v>
      </c>
      <c r="CO103" s="31">
        <v>400</v>
      </c>
      <c r="CP103" s="31">
        <f>400-195</f>
        <v>205</v>
      </c>
      <c r="CQ103" s="31"/>
      <c r="CR103" s="31">
        <v>400</v>
      </c>
      <c r="CS103" s="31">
        <v>400</v>
      </c>
      <c r="CT103" s="31">
        <v>400</v>
      </c>
      <c r="CU103" s="31">
        <v>400</v>
      </c>
      <c r="CV103" s="31">
        <v>400</v>
      </c>
      <c r="CW103" s="31">
        <v>400</v>
      </c>
      <c r="CX103" s="180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182"/>
      <c r="DM103" s="182"/>
      <c r="DN103" s="182"/>
      <c r="DO103" s="182"/>
      <c r="DP103" s="182"/>
      <c r="DQ103" s="182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28"/>
    </row>
    <row r="104" spans="1:140" s="32" customFormat="1" ht="22.5" customHeight="1">
      <c r="A104" s="59">
        <v>102</v>
      </c>
      <c r="B104" s="59" t="s">
        <v>1069</v>
      </c>
      <c r="C104" s="51" t="s">
        <v>1349</v>
      </c>
      <c r="D104" s="50">
        <f t="shared" si="36"/>
        <v>2400</v>
      </c>
      <c r="E104" s="80" t="s">
        <v>1350</v>
      </c>
      <c r="F104" s="52" t="s">
        <v>1289</v>
      </c>
      <c r="G104" s="141">
        <f>3800*6*0.9+3800*6*0.9</f>
        <v>41040</v>
      </c>
      <c r="H104" s="52" t="s">
        <v>1289</v>
      </c>
      <c r="I104" s="89">
        <f>400+400*2+400+400+400*7-45</f>
        <v>4755</v>
      </c>
      <c r="J104" s="52"/>
      <c r="K104" s="8"/>
      <c r="L104" s="29">
        <f t="shared" si="19"/>
        <v>48195</v>
      </c>
      <c r="M104" s="29">
        <f t="shared" si="33"/>
        <v>45795</v>
      </c>
      <c r="N104" s="29">
        <f t="shared" si="20"/>
        <v>2400</v>
      </c>
      <c r="O104" s="29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>
        <f t="shared" si="35"/>
        <v>3420</v>
      </c>
      <c r="AO104" s="31">
        <f t="shared" si="35"/>
        <v>3420</v>
      </c>
      <c r="AP104" s="31">
        <f t="shared" si="35"/>
        <v>3420</v>
      </c>
      <c r="AQ104" s="31">
        <f t="shared" si="35"/>
        <v>3420</v>
      </c>
      <c r="AR104" s="31">
        <f t="shared" si="35"/>
        <v>3420</v>
      </c>
      <c r="AS104" s="31">
        <f t="shared" si="35"/>
        <v>3420</v>
      </c>
      <c r="AT104" s="31">
        <f t="shared" si="35"/>
        <v>3420</v>
      </c>
      <c r="AU104" s="31">
        <f t="shared" si="35"/>
        <v>3420</v>
      </c>
      <c r="AV104" s="31">
        <f t="shared" si="35"/>
        <v>3420</v>
      </c>
      <c r="AW104" s="31">
        <f t="shared" si="35"/>
        <v>3420</v>
      </c>
      <c r="AX104" s="31">
        <f t="shared" si="35"/>
        <v>3420</v>
      </c>
      <c r="AY104" s="31">
        <f t="shared" si="35"/>
        <v>3420</v>
      </c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9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>
        <v>400</v>
      </c>
      <c r="CM104" s="31">
        <v>400</v>
      </c>
      <c r="CN104" s="31">
        <v>400</v>
      </c>
      <c r="CO104" s="31">
        <v>400</v>
      </c>
      <c r="CP104" s="31">
        <f>400-45</f>
        <v>355</v>
      </c>
      <c r="CQ104" s="31">
        <v>400</v>
      </c>
      <c r="CR104" s="31">
        <v>400</v>
      </c>
      <c r="CS104" s="31">
        <v>400</v>
      </c>
      <c r="CT104" s="31">
        <v>400</v>
      </c>
      <c r="CU104" s="31">
        <v>400</v>
      </c>
      <c r="CV104" s="31">
        <v>400</v>
      </c>
      <c r="CW104" s="31">
        <v>400</v>
      </c>
      <c r="CX104" s="180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182"/>
      <c r="DM104" s="182"/>
      <c r="DN104" s="182"/>
      <c r="DO104" s="182"/>
      <c r="DP104" s="182"/>
      <c r="DQ104" s="182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28"/>
    </row>
    <row r="105" spans="1:140" s="32" customFormat="1" ht="22.5" customHeight="1">
      <c r="A105" s="59">
        <v>103</v>
      </c>
      <c r="B105" s="59" t="s">
        <v>1069</v>
      </c>
      <c r="C105" s="51" t="s">
        <v>1351</v>
      </c>
      <c r="D105" s="50">
        <f t="shared" si="36"/>
        <v>2400</v>
      </c>
      <c r="E105" s="80" t="s">
        <v>1352</v>
      </c>
      <c r="F105" s="52" t="s">
        <v>1289</v>
      </c>
      <c r="G105" s="141">
        <f>5000*6+5000*6</f>
        <v>60000</v>
      </c>
      <c r="H105" s="52" t="s">
        <v>1289</v>
      </c>
      <c r="I105" s="89">
        <f>400*6+400*6-45</f>
        <v>4755</v>
      </c>
      <c r="J105" s="52" t="s">
        <v>1289</v>
      </c>
      <c r="K105" s="8">
        <f>400*6+400*6</f>
        <v>4800</v>
      </c>
      <c r="L105" s="29">
        <f t="shared" si="19"/>
        <v>71955</v>
      </c>
      <c r="M105" s="29">
        <f t="shared" si="33"/>
        <v>69555</v>
      </c>
      <c r="N105" s="29">
        <f t="shared" si="20"/>
        <v>2400</v>
      </c>
      <c r="O105" s="29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>
        <v>5000</v>
      </c>
      <c r="AO105" s="31">
        <v>5000</v>
      </c>
      <c r="AP105" s="31">
        <v>5000</v>
      </c>
      <c r="AQ105" s="31">
        <v>5000</v>
      </c>
      <c r="AR105" s="31">
        <v>5000</v>
      </c>
      <c r="AS105" s="31">
        <v>5000</v>
      </c>
      <c r="AT105" s="31">
        <v>5000</v>
      </c>
      <c r="AU105" s="31">
        <v>5000</v>
      </c>
      <c r="AV105" s="31">
        <v>5000</v>
      </c>
      <c r="AW105" s="31">
        <v>5000</v>
      </c>
      <c r="AX105" s="31">
        <v>5000</v>
      </c>
      <c r="AY105" s="31">
        <v>5000</v>
      </c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9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>
        <f>400-45</f>
        <v>355</v>
      </c>
      <c r="CM105" s="31">
        <v>400</v>
      </c>
      <c r="CN105" s="31">
        <v>400</v>
      </c>
      <c r="CO105" s="31">
        <v>400</v>
      </c>
      <c r="CP105" s="31">
        <v>400</v>
      </c>
      <c r="CQ105" s="31">
        <v>400</v>
      </c>
      <c r="CR105" s="31">
        <v>400</v>
      </c>
      <c r="CS105" s="31">
        <v>400</v>
      </c>
      <c r="CT105" s="31">
        <v>400</v>
      </c>
      <c r="CU105" s="31">
        <v>400</v>
      </c>
      <c r="CV105" s="31">
        <v>400</v>
      </c>
      <c r="CW105" s="31">
        <v>400</v>
      </c>
      <c r="CX105" s="180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182"/>
      <c r="DM105" s="182"/>
      <c r="DN105" s="182"/>
      <c r="DO105" s="182"/>
      <c r="DP105" s="182"/>
      <c r="DQ105" s="182"/>
      <c r="DR105" s="31"/>
      <c r="DS105" s="31"/>
      <c r="DT105" s="31"/>
      <c r="DU105" s="31"/>
      <c r="DV105" s="31"/>
      <c r="DW105" s="31"/>
      <c r="DX105" s="31">
        <v>400</v>
      </c>
      <c r="DY105" s="31">
        <v>400</v>
      </c>
      <c r="DZ105" s="31">
        <v>400</v>
      </c>
      <c r="EA105" s="31">
        <v>400</v>
      </c>
      <c r="EB105" s="31">
        <v>400</v>
      </c>
      <c r="EC105" s="31">
        <v>400</v>
      </c>
      <c r="ED105" s="31">
        <v>400</v>
      </c>
      <c r="EE105" s="31">
        <v>400</v>
      </c>
      <c r="EF105" s="31">
        <v>400</v>
      </c>
      <c r="EG105" s="31">
        <v>400</v>
      </c>
      <c r="EH105" s="31">
        <v>400</v>
      </c>
      <c r="EI105" s="31">
        <v>400</v>
      </c>
      <c r="EJ105" s="28"/>
    </row>
    <row r="106" spans="1:140" s="32" customFormat="1" ht="22.5" customHeight="1">
      <c r="A106" s="59">
        <v>104</v>
      </c>
      <c r="B106" s="59" t="s">
        <v>1069</v>
      </c>
      <c r="C106" s="51" t="s">
        <v>1353</v>
      </c>
      <c r="D106" s="50">
        <f t="shared" si="36"/>
        <v>2400</v>
      </c>
      <c r="E106" s="80" t="s">
        <v>1354</v>
      </c>
      <c r="F106" s="52" t="s">
        <v>1289</v>
      </c>
      <c r="G106" s="141">
        <f>3800*6*0.9+3800*6*0.9-2920-2920</f>
        <v>35200</v>
      </c>
      <c r="H106" s="52" t="s">
        <v>1355</v>
      </c>
      <c r="I106" s="89">
        <f>400+400+400+400+400-75+400*6-45-400</f>
        <v>3880</v>
      </c>
      <c r="J106" s="52"/>
      <c r="K106" s="8"/>
      <c r="L106" s="29">
        <f t="shared" si="19"/>
        <v>41480</v>
      </c>
      <c r="M106" s="29">
        <f t="shared" si="33"/>
        <v>39080</v>
      </c>
      <c r="N106" s="29">
        <f t="shared" si="20"/>
        <v>2400</v>
      </c>
      <c r="O106" s="29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>
        <f t="shared" ref="AN106:AY107" si="37">3800*0.9</f>
        <v>3420</v>
      </c>
      <c r="AO106" s="31">
        <f t="shared" si="37"/>
        <v>3420</v>
      </c>
      <c r="AP106" s="31">
        <f t="shared" si="37"/>
        <v>3420</v>
      </c>
      <c r="AQ106" s="31">
        <f t="shared" si="37"/>
        <v>3420</v>
      </c>
      <c r="AR106" s="31">
        <f>3800*0.9-2920</f>
        <v>500</v>
      </c>
      <c r="AS106" s="31">
        <f>3800*0.9-2920</f>
        <v>500</v>
      </c>
      <c r="AT106" s="31">
        <f t="shared" si="37"/>
        <v>3420</v>
      </c>
      <c r="AU106" s="31">
        <f t="shared" si="37"/>
        <v>3420</v>
      </c>
      <c r="AV106" s="31">
        <f t="shared" si="37"/>
        <v>3420</v>
      </c>
      <c r="AW106" s="31">
        <f t="shared" si="37"/>
        <v>3420</v>
      </c>
      <c r="AX106" s="31">
        <f t="shared" si="37"/>
        <v>3420</v>
      </c>
      <c r="AY106" s="31">
        <f t="shared" si="37"/>
        <v>3420</v>
      </c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9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>
        <f>400-75</f>
        <v>325</v>
      </c>
      <c r="CM106" s="31">
        <v>400</v>
      </c>
      <c r="CN106" s="31">
        <v>400</v>
      </c>
      <c r="CO106" s="31">
        <f>400-45</f>
        <v>355</v>
      </c>
      <c r="CP106" s="31"/>
      <c r="CQ106" s="31">
        <f>400-400</f>
        <v>0</v>
      </c>
      <c r="CR106" s="31">
        <v>400</v>
      </c>
      <c r="CS106" s="31">
        <v>400</v>
      </c>
      <c r="CT106" s="31">
        <v>400</v>
      </c>
      <c r="CU106" s="31">
        <v>400</v>
      </c>
      <c r="CV106" s="31">
        <v>400</v>
      </c>
      <c r="CW106" s="31">
        <v>400</v>
      </c>
      <c r="CX106" s="180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182"/>
      <c r="DM106" s="182"/>
      <c r="DN106" s="182"/>
      <c r="DO106" s="182"/>
      <c r="DP106" s="182"/>
      <c r="DQ106" s="182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28"/>
    </row>
    <row r="107" spans="1:140" s="32" customFormat="1" ht="22.5" customHeight="1">
      <c r="A107" s="59">
        <v>105</v>
      </c>
      <c r="B107" s="59" t="s">
        <v>1069</v>
      </c>
      <c r="C107" s="51" t="s">
        <v>1356</v>
      </c>
      <c r="D107" s="50">
        <f t="shared" si="36"/>
        <v>2400</v>
      </c>
      <c r="E107" s="80" t="s">
        <v>1357</v>
      </c>
      <c r="F107" s="52" t="s">
        <v>1289</v>
      </c>
      <c r="G107" s="141">
        <f>3800*6*0.9+3800*6*0.9</f>
        <v>41040</v>
      </c>
      <c r="H107" s="52" t="s">
        <v>1289</v>
      </c>
      <c r="I107" s="89">
        <f>400+400*3+400*2-45+400*6-165</f>
        <v>4590</v>
      </c>
      <c r="J107" s="52" t="s">
        <v>1358</v>
      </c>
      <c r="K107" s="8">
        <f>400*3</f>
        <v>1200</v>
      </c>
      <c r="L107" s="29">
        <f t="shared" si="19"/>
        <v>49230</v>
      </c>
      <c r="M107" s="29">
        <f t="shared" si="33"/>
        <v>46830</v>
      </c>
      <c r="N107" s="29">
        <f>L107-M107</f>
        <v>2400</v>
      </c>
      <c r="O107" s="29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>
        <f t="shared" si="37"/>
        <v>3420</v>
      </c>
      <c r="AO107" s="31">
        <f t="shared" si="37"/>
        <v>3420</v>
      </c>
      <c r="AP107" s="31">
        <f t="shared" si="37"/>
        <v>3420</v>
      </c>
      <c r="AQ107" s="31">
        <f t="shared" si="37"/>
        <v>3420</v>
      </c>
      <c r="AR107" s="31">
        <f t="shared" si="37"/>
        <v>3420</v>
      </c>
      <c r="AS107" s="31">
        <f t="shared" si="37"/>
        <v>3420</v>
      </c>
      <c r="AT107" s="31">
        <f t="shared" si="37"/>
        <v>3420</v>
      </c>
      <c r="AU107" s="31">
        <f t="shared" si="37"/>
        <v>3420</v>
      </c>
      <c r="AV107" s="31">
        <f t="shared" si="37"/>
        <v>3420</v>
      </c>
      <c r="AW107" s="31">
        <f t="shared" si="37"/>
        <v>3420</v>
      </c>
      <c r="AX107" s="31">
        <f t="shared" si="37"/>
        <v>3420</v>
      </c>
      <c r="AY107" s="31">
        <f t="shared" si="37"/>
        <v>3420</v>
      </c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9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>
        <v>400</v>
      </c>
      <c r="CM107" s="31">
        <f>400-45</f>
        <v>355</v>
      </c>
      <c r="CN107" s="31">
        <v>400</v>
      </c>
      <c r="CO107" s="31">
        <v>400</v>
      </c>
      <c r="CP107" s="31">
        <f>400-165</f>
        <v>235</v>
      </c>
      <c r="CQ107" s="31">
        <v>400</v>
      </c>
      <c r="CR107" s="31">
        <v>400</v>
      </c>
      <c r="CS107" s="31">
        <v>400</v>
      </c>
      <c r="CT107" s="31">
        <v>400</v>
      </c>
      <c r="CU107" s="31">
        <v>400</v>
      </c>
      <c r="CV107" s="31">
        <v>400</v>
      </c>
      <c r="CW107" s="31">
        <v>400</v>
      </c>
      <c r="CX107" s="180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182"/>
      <c r="DM107" s="182"/>
      <c r="DN107" s="182"/>
      <c r="DO107" s="182"/>
      <c r="DP107" s="182"/>
      <c r="DQ107" s="182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>
        <v>400</v>
      </c>
      <c r="EG107" s="31">
        <v>400</v>
      </c>
      <c r="EH107" s="31">
        <v>400</v>
      </c>
      <c r="EI107" s="31"/>
      <c r="EJ107" s="28"/>
    </row>
    <row r="108" spans="1:140" s="32" customFormat="1" ht="22.5" customHeight="1">
      <c r="A108" s="59">
        <v>106</v>
      </c>
      <c r="B108" s="59" t="s">
        <v>1069</v>
      </c>
      <c r="C108" s="51" t="s">
        <v>1359</v>
      </c>
      <c r="D108" s="50">
        <f t="shared" si="36"/>
        <v>2400</v>
      </c>
      <c r="E108" s="80" t="s">
        <v>1360</v>
      </c>
      <c r="F108" s="52" t="s">
        <v>1361</v>
      </c>
      <c r="G108" s="141">
        <f>3800*6*0.85-1615+3800*6*0.85</f>
        <v>37145</v>
      </c>
      <c r="H108" s="52" t="s">
        <v>1289</v>
      </c>
      <c r="I108" s="89">
        <f>800+400*4-150+400*6</f>
        <v>4650</v>
      </c>
      <c r="J108" s="52"/>
      <c r="K108" s="8"/>
      <c r="L108" s="29">
        <f t="shared" si="19"/>
        <v>44195</v>
      </c>
      <c r="M108" s="29">
        <f t="shared" si="33"/>
        <v>41795</v>
      </c>
      <c r="N108" s="29">
        <f>L108-M108</f>
        <v>2400</v>
      </c>
      <c r="O108" s="29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>
        <f>3800*0.85-3230</f>
        <v>0</v>
      </c>
      <c r="AN108" s="31">
        <f>3800*0.85/2</f>
        <v>1615</v>
      </c>
      <c r="AO108" s="31">
        <f t="shared" ref="AO108:AY108" si="38">3800*0.85</f>
        <v>3230</v>
      </c>
      <c r="AP108" s="31">
        <f t="shared" si="38"/>
        <v>3230</v>
      </c>
      <c r="AQ108" s="31">
        <f t="shared" si="38"/>
        <v>3230</v>
      </c>
      <c r="AR108" s="31">
        <f t="shared" si="38"/>
        <v>3230</v>
      </c>
      <c r="AS108" s="31">
        <f t="shared" si="38"/>
        <v>3230</v>
      </c>
      <c r="AT108" s="31">
        <f t="shared" si="38"/>
        <v>3230</v>
      </c>
      <c r="AU108" s="31">
        <f t="shared" si="38"/>
        <v>3230</v>
      </c>
      <c r="AV108" s="31">
        <f t="shared" si="38"/>
        <v>3230</v>
      </c>
      <c r="AW108" s="31">
        <f t="shared" si="38"/>
        <v>3230</v>
      </c>
      <c r="AX108" s="31">
        <f t="shared" si="38"/>
        <v>3230</v>
      </c>
      <c r="AY108" s="31">
        <f t="shared" si="38"/>
        <v>3230</v>
      </c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9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>
        <f>400-150</f>
        <v>250</v>
      </c>
      <c r="CM108" s="31">
        <v>400</v>
      </c>
      <c r="CN108" s="31">
        <v>400</v>
      </c>
      <c r="CO108" s="31">
        <v>400</v>
      </c>
      <c r="CP108" s="31">
        <v>400</v>
      </c>
      <c r="CQ108" s="31">
        <v>400</v>
      </c>
      <c r="CR108" s="31">
        <v>400</v>
      </c>
      <c r="CS108" s="31">
        <v>400</v>
      </c>
      <c r="CT108" s="31">
        <v>400</v>
      </c>
      <c r="CU108" s="31">
        <v>400</v>
      </c>
      <c r="CV108" s="31">
        <v>400</v>
      </c>
      <c r="CW108" s="31">
        <v>400</v>
      </c>
      <c r="CX108" s="180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182"/>
      <c r="DM108" s="182"/>
      <c r="DN108" s="182"/>
      <c r="DO108" s="182"/>
      <c r="DP108" s="182"/>
      <c r="DQ108" s="182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28"/>
    </row>
    <row r="109" spans="1:140" s="32" customFormat="1" ht="22.5" customHeight="1">
      <c r="A109" s="59">
        <v>107</v>
      </c>
      <c r="B109" s="59" t="s">
        <v>1069</v>
      </c>
      <c r="C109" s="51" t="s">
        <v>1362</v>
      </c>
      <c r="D109" s="50">
        <f t="shared" si="36"/>
        <v>2400</v>
      </c>
      <c r="E109" s="80" t="s">
        <v>1363</v>
      </c>
      <c r="F109" s="52" t="s">
        <v>1361</v>
      </c>
      <c r="G109" s="141">
        <f>3800*6*0.5+3800*6*0.5-1400-950-950</f>
        <v>19500</v>
      </c>
      <c r="H109" s="52" t="s">
        <v>1361</v>
      </c>
      <c r="I109" s="89">
        <f>11*20+400*5+400*6-40-45-75-400-135</f>
        <v>3925</v>
      </c>
      <c r="J109" s="52"/>
      <c r="K109" s="8"/>
      <c r="L109" s="29">
        <f t="shared" si="19"/>
        <v>25825</v>
      </c>
      <c r="M109" s="29">
        <f t="shared" si="33"/>
        <v>23425</v>
      </c>
      <c r="N109" s="29">
        <f>L109-M109</f>
        <v>2400</v>
      </c>
      <c r="O109" s="29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>
        <f>3800*0.5/2</f>
        <v>950</v>
      </c>
      <c r="AO109" s="31">
        <f t="shared" ref="AO109:AY109" si="39">3800*0.5</f>
        <v>1900</v>
      </c>
      <c r="AP109" s="31">
        <f t="shared" si="39"/>
        <v>1900</v>
      </c>
      <c r="AQ109" s="31">
        <f t="shared" si="39"/>
        <v>1900</v>
      </c>
      <c r="AR109" s="31">
        <f>3800*0.5-1400</f>
        <v>500</v>
      </c>
      <c r="AS109" s="31">
        <f>3800*0.5/2</f>
        <v>950</v>
      </c>
      <c r="AT109" s="31">
        <f t="shared" si="39"/>
        <v>1900</v>
      </c>
      <c r="AU109" s="31">
        <f t="shared" si="39"/>
        <v>1900</v>
      </c>
      <c r="AV109" s="31">
        <f t="shared" si="39"/>
        <v>1900</v>
      </c>
      <c r="AW109" s="31">
        <f t="shared" si="39"/>
        <v>1900</v>
      </c>
      <c r="AX109" s="31">
        <f t="shared" si="39"/>
        <v>1900</v>
      </c>
      <c r="AY109" s="31">
        <f t="shared" si="39"/>
        <v>1900</v>
      </c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9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>
        <f>11*20-40</f>
        <v>180</v>
      </c>
      <c r="CM109" s="31">
        <f>400-45</f>
        <v>355</v>
      </c>
      <c r="CN109" s="31">
        <f>400-75</f>
        <v>325</v>
      </c>
      <c r="CO109" s="31">
        <v>400</v>
      </c>
      <c r="CP109" s="31">
        <f>400-400</f>
        <v>0</v>
      </c>
      <c r="CQ109" s="31">
        <f>400-135</f>
        <v>265</v>
      </c>
      <c r="CR109" s="31">
        <v>400</v>
      </c>
      <c r="CS109" s="31">
        <v>400</v>
      </c>
      <c r="CT109" s="31">
        <v>400</v>
      </c>
      <c r="CU109" s="31">
        <v>400</v>
      </c>
      <c r="CV109" s="31">
        <v>400</v>
      </c>
      <c r="CW109" s="31">
        <v>400</v>
      </c>
      <c r="CX109" s="180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182"/>
      <c r="DM109" s="182"/>
      <c r="DN109" s="182"/>
      <c r="DO109" s="182"/>
      <c r="DP109" s="182"/>
      <c r="DQ109" s="182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28"/>
    </row>
    <row r="110" spans="1:140" s="32" customFormat="1" ht="21.75" customHeight="1">
      <c r="A110" s="59">
        <v>108</v>
      </c>
      <c r="B110" s="59" t="s">
        <v>1069</v>
      </c>
      <c r="C110" s="51" t="s">
        <v>1364</v>
      </c>
      <c r="D110" s="50">
        <f>600+1200+600</f>
        <v>2400</v>
      </c>
      <c r="E110" s="80" t="s">
        <v>1365</v>
      </c>
      <c r="F110" s="52" t="s">
        <v>1366</v>
      </c>
      <c r="G110" s="141">
        <f>3800*6*0.85-1615-1615+3800*6*0.85</f>
        <v>35530</v>
      </c>
      <c r="H110" s="52" t="s">
        <v>1289</v>
      </c>
      <c r="I110" s="89">
        <f>400-180+400-180+400*4+400*6-165-75</f>
        <v>4200</v>
      </c>
      <c r="J110" s="52" t="s">
        <v>1289</v>
      </c>
      <c r="K110" s="8">
        <f>400*6+400*6</f>
        <v>4800</v>
      </c>
      <c r="L110" s="29">
        <f t="shared" si="19"/>
        <v>46930</v>
      </c>
      <c r="M110" s="29">
        <f t="shared" si="33"/>
        <v>44530</v>
      </c>
      <c r="N110" s="29">
        <f>L110-M110</f>
        <v>2400</v>
      </c>
      <c r="O110" s="29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>
        <f>3800*0.85/2</f>
        <v>1615</v>
      </c>
      <c r="AO110" s="31">
        <f>3800*0.85/2</f>
        <v>1615</v>
      </c>
      <c r="AP110" s="31">
        <f>3800*0.85</f>
        <v>3230</v>
      </c>
      <c r="AQ110" s="31">
        <f>3800*0.85</f>
        <v>3230</v>
      </c>
      <c r="AR110" s="31">
        <f>3800*0.85</f>
        <v>3230</v>
      </c>
      <c r="AS110" s="31">
        <f>3800*0.85</f>
        <v>3230</v>
      </c>
      <c r="AT110" s="31">
        <f t="shared" ref="AT110:AY110" si="40">3800*0.85</f>
        <v>3230</v>
      </c>
      <c r="AU110" s="31">
        <f t="shared" si="40"/>
        <v>3230</v>
      </c>
      <c r="AV110" s="31">
        <f t="shared" si="40"/>
        <v>3230</v>
      </c>
      <c r="AW110" s="31">
        <f t="shared" si="40"/>
        <v>3230</v>
      </c>
      <c r="AX110" s="31">
        <f t="shared" si="40"/>
        <v>3230</v>
      </c>
      <c r="AY110" s="31">
        <f t="shared" si="40"/>
        <v>3230</v>
      </c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9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>
        <f>400-180</f>
        <v>220</v>
      </c>
      <c r="CM110" s="31">
        <f>400-180</f>
        <v>220</v>
      </c>
      <c r="CN110" s="31">
        <v>400</v>
      </c>
      <c r="CO110" s="31">
        <f>400-165</f>
        <v>235</v>
      </c>
      <c r="CP110" s="31">
        <f>400-75</f>
        <v>325</v>
      </c>
      <c r="CQ110" s="31">
        <v>400</v>
      </c>
      <c r="CR110" s="31">
        <v>400</v>
      </c>
      <c r="CS110" s="31">
        <v>400</v>
      </c>
      <c r="CT110" s="31">
        <v>400</v>
      </c>
      <c r="CU110" s="31">
        <v>400</v>
      </c>
      <c r="CV110" s="31">
        <v>400</v>
      </c>
      <c r="CW110" s="31">
        <v>400</v>
      </c>
      <c r="CX110" s="180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182"/>
      <c r="DM110" s="182"/>
      <c r="DN110" s="182"/>
      <c r="DO110" s="182"/>
      <c r="DP110" s="182"/>
      <c r="DQ110" s="182"/>
      <c r="DR110" s="31"/>
      <c r="DS110" s="31"/>
      <c r="DT110" s="31"/>
      <c r="DU110" s="31"/>
      <c r="DV110" s="31"/>
      <c r="DW110" s="31"/>
      <c r="DX110" s="31">
        <v>400</v>
      </c>
      <c r="DY110" s="31">
        <v>400</v>
      </c>
      <c r="DZ110" s="31">
        <v>400</v>
      </c>
      <c r="EA110" s="31">
        <v>400</v>
      </c>
      <c r="EB110" s="31">
        <v>400</v>
      </c>
      <c r="EC110" s="31">
        <v>400</v>
      </c>
      <c r="ED110" s="31">
        <v>400</v>
      </c>
      <c r="EE110" s="31">
        <v>400</v>
      </c>
      <c r="EF110" s="31">
        <v>400</v>
      </c>
      <c r="EG110" s="31">
        <v>400</v>
      </c>
      <c r="EH110" s="31">
        <v>400</v>
      </c>
      <c r="EI110" s="31">
        <v>400</v>
      </c>
      <c r="EJ110" s="28"/>
    </row>
    <row r="111" spans="1:140" s="32" customFormat="1" ht="22.5" customHeight="1">
      <c r="A111" s="59">
        <v>109</v>
      </c>
      <c r="B111" s="59" t="s">
        <v>1069</v>
      </c>
      <c r="C111" s="51" t="s">
        <v>1367</v>
      </c>
      <c r="D111" s="50">
        <f>1200+600+600</f>
        <v>2400</v>
      </c>
      <c r="E111" s="80" t="s">
        <v>1368</v>
      </c>
      <c r="F111" s="52" t="s">
        <v>1369</v>
      </c>
      <c r="G111" s="141">
        <f>5000*10</f>
        <v>50000</v>
      </c>
      <c r="H111" s="52" t="s">
        <v>1369</v>
      </c>
      <c r="I111" s="89">
        <f>15*20+400*3+400*6-60-75</f>
        <v>3765</v>
      </c>
      <c r="J111" s="52"/>
      <c r="K111" s="8"/>
      <c r="L111" s="29">
        <f>D111+G111+I111+K111</f>
        <v>56165</v>
      </c>
      <c r="M111" s="29">
        <f t="shared" si="33"/>
        <v>53765</v>
      </c>
      <c r="N111" s="29">
        <f>L111-M111</f>
        <v>2400</v>
      </c>
      <c r="O111" s="29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>
        <v>5000</v>
      </c>
      <c r="AQ111" s="31">
        <v>5000</v>
      </c>
      <c r="AR111" s="31">
        <v>5000</v>
      </c>
      <c r="AS111" s="31">
        <v>5000</v>
      </c>
      <c r="AT111" s="31">
        <v>5000</v>
      </c>
      <c r="AU111" s="31">
        <v>5000</v>
      </c>
      <c r="AV111" s="31">
        <v>5000</v>
      </c>
      <c r="AW111" s="31">
        <v>5000</v>
      </c>
      <c r="AX111" s="31">
        <v>5000</v>
      </c>
      <c r="AY111" s="31">
        <v>5000</v>
      </c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9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>
        <f>15*20</f>
        <v>300</v>
      </c>
      <c r="CO111" s="31">
        <f>400-60</f>
        <v>340</v>
      </c>
      <c r="CP111" s="31">
        <f>400-75</f>
        <v>325</v>
      </c>
      <c r="CQ111" s="31">
        <v>400</v>
      </c>
      <c r="CR111" s="31">
        <v>400</v>
      </c>
      <c r="CS111" s="31">
        <v>400</v>
      </c>
      <c r="CT111" s="31">
        <v>400</v>
      </c>
      <c r="CU111" s="31">
        <v>400</v>
      </c>
      <c r="CV111" s="31">
        <v>400</v>
      </c>
      <c r="CW111" s="31">
        <v>400</v>
      </c>
      <c r="CX111" s="180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182"/>
      <c r="DM111" s="182"/>
      <c r="DN111" s="182"/>
      <c r="DO111" s="182"/>
      <c r="DP111" s="182"/>
      <c r="DQ111" s="182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28"/>
    </row>
    <row r="112" spans="1:140" s="32" customFormat="1" ht="22.5" customHeight="1">
      <c r="A112" s="59">
        <v>110</v>
      </c>
      <c r="B112" s="59" t="s">
        <v>1069</v>
      </c>
      <c r="C112" s="51" t="s">
        <v>1370</v>
      </c>
      <c r="D112" s="50">
        <f>1200+480+600</f>
        <v>2280</v>
      </c>
      <c r="E112" s="80" t="s">
        <v>1371</v>
      </c>
      <c r="F112" s="52" t="s">
        <v>1372</v>
      </c>
      <c r="G112" s="141">
        <f>3800*8*0.85</f>
        <v>25840</v>
      </c>
      <c r="H112" s="52" t="s">
        <v>1372</v>
      </c>
      <c r="I112" s="89">
        <f>400*2+400*6-150</f>
        <v>3050</v>
      </c>
      <c r="J112" s="52" t="s">
        <v>1133</v>
      </c>
      <c r="K112" s="8">
        <f>400*6</f>
        <v>2400</v>
      </c>
      <c r="L112" s="29">
        <f t="shared" ref="L112:L147" si="41">D112+G112+I112+K112</f>
        <v>33570</v>
      </c>
      <c r="M112" s="29">
        <f t="shared" si="33"/>
        <v>31290</v>
      </c>
      <c r="N112" s="29">
        <f t="shared" ref="N112:N147" si="42">L112-M112</f>
        <v>2280</v>
      </c>
      <c r="O112" s="29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>
        <f t="shared" ref="AR112:AY112" si="43">3800*0.85</f>
        <v>3230</v>
      </c>
      <c r="AS112" s="31">
        <f t="shared" si="43"/>
        <v>3230</v>
      </c>
      <c r="AT112" s="31">
        <f t="shared" si="43"/>
        <v>3230</v>
      </c>
      <c r="AU112" s="31">
        <f t="shared" si="43"/>
        <v>3230</v>
      </c>
      <c r="AV112" s="31">
        <f t="shared" si="43"/>
        <v>3230</v>
      </c>
      <c r="AW112" s="31">
        <f t="shared" si="43"/>
        <v>3230</v>
      </c>
      <c r="AX112" s="31">
        <f t="shared" si="43"/>
        <v>3230</v>
      </c>
      <c r="AY112" s="31">
        <f t="shared" si="43"/>
        <v>3230</v>
      </c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9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>
        <f>400-150</f>
        <v>250</v>
      </c>
      <c r="CQ112" s="31">
        <v>400</v>
      </c>
      <c r="CR112" s="31">
        <v>400</v>
      </c>
      <c r="CS112" s="31">
        <v>400</v>
      </c>
      <c r="CT112" s="31">
        <v>400</v>
      </c>
      <c r="CU112" s="31">
        <v>400</v>
      </c>
      <c r="CV112" s="31">
        <v>400</v>
      </c>
      <c r="CW112" s="31">
        <v>400</v>
      </c>
      <c r="CX112" s="180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182"/>
      <c r="DM112" s="182"/>
      <c r="DN112" s="182"/>
      <c r="DO112" s="182"/>
      <c r="DP112" s="182"/>
      <c r="DQ112" s="182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>
        <v>400</v>
      </c>
      <c r="EE112" s="31">
        <v>400</v>
      </c>
      <c r="EF112" s="31">
        <v>400</v>
      </c>
      <c r="EG112" s="31">
        <v>400</v>
      </c>
      <c r="EH112" s="31">
        <v>400</v>
      </c>
      <c r="EI112" s="31">
        <v>400</v>
      </c>
      <c r="EJ112" s="28"/>
    </row>
    <row r="113" spans="1:140" s="32" customFormat="1" ht="22.5" customHeight="1">
      <c r="A113" s="59">
        <v>111</v>
      </c>
      <c r="B113" s="59" t="s">
        <v>1069</v>
      </c>
      <c r="C113" s="51" t="s">
        <v>1373</v>
      </c>
      <c r="D113" s="50">
        <f>1200+480+600</f>
        <v>2280</v>
      </c>
      <c r="E113" s="80" t="s">
        <v>1374</v>
      </c>
      <c r="F113" s="52" t="s">
        <v>1375</v>
      </c>
      <c r="G113" s="141">
        <f>5000*8*0.9-2250</f>
        <v>33750</v>
      </c>
      <c r="H113" s="52" t="s">
        <v>1375</v>
      </c>
      <c r="I113" s="89">
        <f>400*8-195</f>
        <v>3005</v>
      </c>
      <c r="J113" s="52"/>
      <c r="K113" s="8"/>
      <c r="L113" s="29">
        <f t="shared" si="41"/>
        <v>39035</v>
      </c>
      <c r="M113" s="29">
        <f t="shared" si="33"/>
        <v>36755</v>
      </c>
      <c r="N113" s="29">
        <f t="shared" si="42"/>
        <v>2280</v>
      </c>
      <c r="O113" s="29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>
        <f>5000*0.9/2</f>
        <v>2250</v>
      </c>
      <c r="AS113" s="31">
        <f t="shared" ref="AS113:AY113" si="44">5000*0.9</f>
        <v>4500</v>
      </c>
      <c r="AT113" s="31">
        <f t="shared" si="44"/>
        <v>4500</v>
      </c>
      <c r="AU113" s="31">
        <f t="shared" si="44"/>
        <v>4500</v>
      </c>
      <c r="AV113" s="31">
        <f t="shared" si="44"/>
        <v>4500</v>
      </c>
      <c r="AW113" s="31">
        <f t="shared" si="44"/>
        <v>4500</v>
      </c>
      <c r="AX113" s="31">
        <f t="shared" si="44"/>
        <v>4500</v>
      </c>
      <c r="AY113" s="31">
        <f t="shared" si="44"/>
        <v>4500</v>
      </c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9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>
        <f>400-195</f>
        <v>205</v>
      </c>
      <c r="CQ113" s="31">
        <v>400</v>
      </c>
      <c r="CR113" s="31">
        <v>400</v>
      </c>
      <c r="CS113" s="31">
        <v>400</v>
      </c>
      <c r="CT113" s="31">
        <v>400</v>
      </c>
      <c r="CU113" s="31">
        <v>400</v>
      </c>
      <c r="CV113" s="31">
        <v>400</v>
      </c>
      <c r="CW113" s="31">
        <v>400</v>
      </c>
      <c r="CX113" s="180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182"/>
      <c r="DM113" s="182"/>
      <c r="DN113" s="182"/>
      <c r="DO113" s="182"/>
      <c r="DP113" s="182"/>
      <c r="DQ113" s="182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28"/>
    </row>
    <row r="114" spans="1:140" s="32" customFormat="1" ht="22.5" customHeight="1">
      <c r="A114" s="59">
        <v>112</v>
      </c>
      <c r="B114" s="59" t="s">
        <v>1069</v>
      </c>
      <c r="C114" s="51" t="s">
        <v>1376</v>
      </c>
      <c r="D114" s="50">
        <f>1200+700</f>
        <v>1900</v>
      </c>
      <c r="E114" s="80" t="s">
        <v>1377</v>
      </c>
      <c r="F114" s="52" t="s">
        <v>1378</v>
      </c>
      <c r="G114" s="141">
        <f>1500+5000*6*0.6-1500-3000</f>
        <v>15000</v>
      </c>
      <c r="H114" s="52" t="s">
        <v>1378</v>
      </c>
      <c r="I114" s="89">
        <f>8*20+400*6-160-400</f>
        <v>2000</v>
      </c>
      <c r="J114" s="52" t="s">
        <v>1379</v>
      </c>
      <c r="K114" s="8">
        <f>400*3</f>
        <v>1200</v>
      </c>
      <c r="L114" s="29">
        <f t="shared" si="41"/>
        <v>20100</v>
      </c>
      <c r="M114" s="29">
        <f t="shared" si="33"/>
        <v>18200</v>
      </c>
      <c r="N114" s="29">
        <f t="shared" si="42"/>
        <v>1900</v>
      </c>
      <c r="O114" s="29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>
        <f>5000*0.6/2-1500</f>
        <v>0</v>
      </c>
      <c r="AT114" s="31">
        <f>5000*0.6-3000</f>
        <v>0</v>
      </c>
      <c r="AU114" s="31">
        <f t="shared" ref="AU114:AY114" si="45">5000*0.6</f>
        <v>3000</v>
      </c>
      <c r="AV114" s="31">
        <f t="shared" si="45"/>
        <v>3000</v>
      </c>
      <c r="AW114" s="31">
        <f t="shared" si="45"/>
        <v>3000</v>
      </c>
      <c r="AX114" s="31">
        <f t="shared" si="45"/>
        <v>3000</v>
      </c>
      <c r="AY114" s="31">
        <f t="shared" si="45"/>
        <v>3000</v>
      </c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9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>
        <f>8*20-160</f>
        <v>0</v>
      </c>
      <c r="CR114" s="31">
        <f>400-400</f>
        <v>0</v>
      </c>
      <c r="CS114" s="31">
        <v>400</v>
      </c>
      <c r="CT114" s="31">
        <v>400</v>
      </c>
      <c r="CU114" s="31">
        <v>400</v>
      </c>
      <c r="CV114" s="31">
        <v>400</v>
      </c>
      <c r="CW114" s="31">
        <v>400</v>
      </c>
      <c r="CX114" s="180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182"/>
      <c r="DM114" s="182"/>
      <c r="DN114" s="182"/>
      <c r="DO114" s="182"/>
      <c r="DP114" s="182"/>
      <c r="DQ114" s="182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>
        <v>400</v>
      </c>
      <c r="EH114" s="31">
        <v>400</v>
      </c>
      <c r="EI114" s="31">
        <v>400</v>
      </c>
      <c r="EJ114" s="28"/>
    </row>
    <row r="115" spans="1:140" s="32" customFormat="1" ht="22.5" customHeight="1">
      <c r="A115" s="59">
        <v>113</v>
      </c>
      <c r="B115" s="59" t="s">
        <v>1069</v>
      </c>
      <c r="C115" s="51" t="s">
        <v>1380</v>
      </c>
      <c r="D115" s="50">
        <f>1200+700</f>
        <v>1900</v>
      </c>
      <c r="E115" s="80" t="s">
        <v>1381</v>
      </c>
      <c r="F115" s="52" t="s">
        <v>1382</v>
      </c>
      <c r="G115" s="141">
        <f>5000*0.9/2+5000*6*0.9</f>
        <v>29250</v>
      </c>
      <c r="H115" s="52" t="s">
        <v>1382</v>
      </c>
      <c r="I115" s="89">
        <f>8*20+400*6</f>
        <v>2560</v>
      </c>
      <c r="J115" s="52" t="s">
        <v>1133</v>
      </c>
      <c r="K115" s="8">
        <f>400+400*5</f>
        <v>2400</v>
      </c>
      <c r="L115" s="29">
        <f t="shared" si="41"/>
        <v>36110</v>
      </c>
      <c r="M115" s="29">
        <f t="shared" si="33"/>
        <v>34210</v>
      </c>
      <c r="N115" s="29">
        <f t="shared" si="42"/>
        <v>1900</v>
      </c>
      <c r="O115" s="29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>
        <f>5000*0.9/2</f>
        <v>2250</v>
      </c>
      <c r="AT115" s="31">
        <f t="shared" ref="AT115:AY115" si="46">5000*0.9</f>
        <v>4500</v>
      </c>
      <c r="AU115" s="31">
        <f t="shared" si="46"/>
        <v>4500</v>
      </c>
      <c r="AV115" s="31">
        <f t="shared" si="46"/>
        <v>4500</v>
      </c>
      <c r="AW115" s="31">
        <f t="shared" si="46"/>
        <v>4500</v>
      </c>
      <c r="AX115" s="31">
        <f t="shared" si="46"/>
        <v>4500</v>
      </c>
      <c r="AY115" s="31">
        <f t="shared" si="46"/>
        <v>4500</v>
      </c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9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>
        <f>8*20</f>
        <v>160</v>
      </c>
      <c r="CR115" s="31">
        <v>400</v>
      </c>
      <c r="CS115" s="31">
        <v>400</v>
      </c>
      <c r="CT115" s="31">
        <v>400</v>
      </c>
      <c r="CU115" s="31">
        <v>400</v>
      </c>
      <c r="CV115" s="31">
        <v>400</v>
      </c>
      <c r="CW115" s="31">
        <v>400</v>
      </c>
      <c r="CX115" s="180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182"/>
      <c r="DM115" s="182"/>
      <c r="DN115" s="182"/>
      <c r="DO115" s="182"/>
      <c r="DP115" s="182"/>
      <c r="DQ115" s="182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>
        <v>400</v>
      </c>
      <c r="EE115" s="31">
        <v>400</v>
      </c>
      <c r="EF115" s="31">
        <v>400</v>
      </c>
      <c r="EG115" s="31">
        <v>400</v>
      </c>
      <c r="EH115" s="31">
        <v>400</v>
      </c>
      <c r="EI115" s="31">
        <v>400</v>
      </c>
      <c r="EJ115" s="28"/>
    </row>
    <row r="116" spans="1:140" s="32" customFormat="1" ht="22.5" customHeight="1">
      <c r="A116" s="59">
        <v>114</v>
      </c>
      <c r="B116" s="59" t="s">
        <v>1069</v>
      </c>
      <c r="C116" s="51" t="s">
        <v>1383</v>
      </c>
      <c r="D116" s="50">
        <f t="shared" ref="D116:D129" si="47">1200+600</f>
        <v>1800</v>
      </c>
      <c r="E116" s="80" t="s">
        <v>1384</v>
      </c>
      <c r="F116" s="52" t="s">
        <v>1133</v>
      </c>
      <c r="G116" s="141">
        <f>3800*6*0.9</f>
        <v>20520</v>
      </c>
      <c r="H116" s="52" t="s">
        <v>1133</v>
      </c>
      <c r="I116" s="89">
        <f>400*6</f>
        <v>2400</v>
      </c>
      <c r="J116" s="52"/>
      <c r="K116" s="8"/>
      <c r="L116" s="29">
        <f t="shared" si="41"/>
        <v>24720</v>
      </c>
      <c r="M116" s="29">
        <f t="shared" si="33"/>
        <v>22920</v>
      </c>
      <c r="N116" s="29">
        <f t="shared" si="42"/>
        <v>1800</v>
      </c>
      <c r="O116" s="29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>
        <f t="shared" ref="AT116:AY116" si="48">3800*0.9</f>
        <v>3420</v>
      </c>
      <c r="AU116" s="31">
        <f t="shared" si="48"/>
        <v>3420</v>
      </c>
      <c r="AV116" s="31">
        <f t="shared" si="48"/>
        <v>3420</v>
      </c>
      <c r="AW116" s="31">
        <f t="shared" si="48"/>
        <v>3420</v>
      </c>
      <c r="AX116" s="31">
        <f t="shared" si="48"/>
        <v>3420</v>
      </c>
      <c r="AY116" s="31">
        <f t="shared" si="48"/>
        <v>3420</v>
      </c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9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>
        <v>400</v>
      </c>
      <c r="CS116" s="31">
        <v>400</v>
      </c>
      <c r="CT116" s="31">
        <v>400</v>
      </c>
      <c r="CU116" s="31">
        <v>400</v>
      </c>
      <c r="CV116" s="31">
        <v>400</v>
      </c>
      <c r="CW116" s="31">
        <v>400</v>
      </c>
      <c r="CX116" s="180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182"/>
      <c r="DM116" s="182"/>
      <c r="DN116" s="182"/>
      <c r="DO116" s="182"/>
      <c r="DP116" s="182"/>
      <c r="DQ116" s="182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28"/>
    </row>
    <row r="117" spans="1:140" s="32" customFormat="1" ht="22.5" customHeight="1">
      <c r="A117" s="59">
        <v>115</v>
      </c>
      <c r="B117" s="59" t="s">
        <v>1069</v>
      </c>
      <c r="C117" s="51" t="s">
        <v>1385</v>
      </c>
      <c r="D117" s="50">
        <f>1200+600</f>
        <v>1800</v>
      </c>
      <c r="E117" s="80" t="s">
        <v>1386</v>
      </c>
      <c r="F117" s="52" t="s">
        <v>1133</v>
      </c>
      <c r="G117" s="141">
        <f>3800*6*0.85</f>
        <v>19380</v>
      </c>
      <c r="H117" s="52" t="s">
        <v>1133</v>
      </c>
      <c r="I117" s="89">
        <f>400*6</f>
        <v>2400</v>
      </c>
      <c r="J117" s="52"/>
      <c r="K117" s="8"/>
      <c r="L117" s="29">
        <f>D117+G117+I117+K117</f>
        <v>23580</v>
      </c>
      <c r="M117" s="29">
        <f t="shared" si="33"/>
        <v>21780</v>
      </c>
      <c r="N117" s="29">
        <f>L117-M117</f>
        <v>1800</v>
      </c>
      <c r="O117" s="29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28"/>
      <c r="AQ117" s="28"/>
      <c r="AR117" s="28"/>
      <c r="AS117" s="28"/>
      <c r="AT117" s="31">
        <f t="shared" ref="AT117:AY118" si="49">3800*0.85</f>
        <v>3230</v>
      </c>
      <c r="AU117" s="31">
        <f t="shared" si="49"/>
        <v>3230</v>
      </c>
      <c r="AV117" s="31">
        <f t="shared" si="49"/>
        <v>3230</v>
      </c>
      <c r="AW117" s="31">
        <f t="shared" si="49"/>
        <v>3230</v>
      </c>
      <c r="AX117" s="31">
        <f t="shared" si="49"/>
        <v>3230</v>
      </c>
      <c r="AY117" s="31">
        <f t="shared" si="49"/>
        <v>3230</v>
      </c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9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>
        <v>400</v>
      </c>
      <c r="CS117" s="31">
        <v>400</v>
      </c>
      <c r="CT117" s="31">
        <v>400</v>
      </c>
      <c r="CU117" s="31">
        <v>400</v>
      </c>
      <c r="CV117" s="31">
        <v>400</v>
      </c>
      <c r="CW117" s="31">
        <v>400</v>
      </c>
      <c r="CX117" s="180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182"/>
      <c r="DM117" s="182"/>
      <c r="DN117" s="182"/>
      <c r="DO117" s="182"/>
      <c r="DP117" s="182"/>
      <c r="DQ117" s="182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28"/>
    </row>
    <row r="118" spans="1:140" s="32" customFormat="1" ht="22.5" customHeight="1">
      <c r="A118" s="59">
        <v>116</v>
      </c>
      <c r="B118" s="59" t="s">
        <v>1069</v>
      </c>
      <c r="C118" s="51" t="s">
        <v>1387</v>
      </c>
      <c r="D118" s="50">
        <f t="shared" si="47"/>
        <v>1800</v>
      </c>
      <c r="E118" s="80" t="s">
        <v>1388</v>
      </c>
      <c r="F118" s="52" t="s">
        <v>1133</v>
      </c>
      <c r="G118" s="141">
        <f>3800*6*0.85</f>
        <v>19380</v>
      </c>
      <c r="H118" s="52" t="s">
        <v>1133</v>
      </c>
      <c r="I118" s="89">
        <f>400*6</f>
        <v>2400</v>
      </c>
      <c r="J118" s="52" t="s">
        <v>1133</v>
      </c>
      <c r="K118" s="8">
        <f>400*6</f>
        <v>2400</v>
      </c>
      <c r="L118" s="29">
        <f t="shared" si="41"/>
        <v>25980</v>
      </c>
      <c r="M118" s="29">
        <f t="shared" si="33"/>
        <v>24180</v>
      </c>
      <c r="N118" s="29">
        <f t="shared" si="42"/>
        <v>1800</v>
      </c>
      <c r="O118" s="29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>
        <f t="shared" si="49"/>
        <v>3230</v>
      </c>
      <c r="AU118" s="31">
        <f t="shared" si="49"/>
        <v>3230</v>
      </c>
      <c r="AV118" s="31">
        <f t="shared" si="49"/>
        <v>3230</v>
      </c>
      <c r="AW118" s="31">
        <f t="shared" si="49"/>
        <v>3230</v>
      </c>
      <c r="AX118" s="31">
        <f t="shared" si="49"/>
        <v>3230</v>
      </c>
      <c r="AY118" s="31">
        <f t="shared" si="49"/>
        <v>3230</v>
      </c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9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>
        <v>400</v>
      </c>
      <c r="CS118" s="31">
        <v>400</v>
      </c>
      <c r="CT118" s="31">
        <v>400</v>
      </c>
      <c r="CU118" s="31">
        <v>400</v>
      </c>
      <c r="CV118" s="31">
        <v>400</v>
      </c>
      <c r="CW118" s="31">
        <v>400</v>
      </c>
      <c r="CX118" s="180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182"/>
      <c r="DM118" s="182"/>
      <c r="DN118" s="182"/>
      <c r="DO118" s="182"/>
      <c r="DP118" s="182"/>
      <c r="DQ118" s="182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>
        <v>400</v>
      </c>
      <c r="EE118" s="31">
        <v>400</v>
      </c>
      <c r="EF118" s="31">
        <v>400</v>
      </c>
      <c r="EG118" s="31">
        <v>400</v>
      </c>
      <c r="EH118" s="31">
        <v>400</v>
      </c>
      <c r="EI118" s="31">
        <v>400</v>
      </c>
      <c r="EJ118" s="28"/>
    </row>
    <row r="119" spans="1:140" s="32" customFormat="1" ht="22.5" customHeight="1">
      <c r="A119" s="59">
        <v>117</v>
      </c>
      <c r="B119" s="59" t="s">
        <v>1069</v>
      </c>
      <c r="C119" s="51" t="s">
        <v>1389</v>
      </c>
      <c r="D119" s="50">
        <f t="shared" si="47"/>
        <v>1800</v>
      </c>
      <c r="E119" s="80" t="s">
        <v>1390</v>
      </c>
      <c r="F119" s="52" t="s">
        <v>1133</v>
      </c>
      <c r="G119" s="141">
        <f>5000*6*0.9</f>
        <v>27000</v>
      </c>
      <c r="H119" s="52" t="s">
        <v>1133</v>
      </c>
      <c r="I119" s="89">
        <f>400*6-800</f>
        <v>1600</v>
      </c>
      <c r="J119" s="52" t="s">
        <v>1378</v>
      </c>
      <c r="K119" s="8">
        <f>400*5</f>
        <v>2000</v>
      </c>
      <c r="L119" s="29">
        <f t="shared" si="41"/>
        <v>32400</v>
      </c>
      <c r="M119" s="29">
        <f t="shared" si="33"/>
        <v>30600</v>
      </c>
      <c r="N119" s="29">
        <f t="shared" si="42"/>
        <v>1800</v>
      </c>
      <c r="O119" s="29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>
        <f t="shared" ref="AT119:AY122" si="50">5000*0.9</f>
        <v>4500</v>
      </c>
      <c r="AU119" s="31">
        <f t="shared" si="50"/>
        <v>4500</v>
      </c>
      <c r="AV119" s="31">
        <f t="shared" si="50"/>
        <v>4500</v>
      </c>
      <c r="AW119" s="31">
        <f t="shared" si="50"/>
        <v>4500</v>
      </c>
      <c r="AX119" s="31">
        <f t="shared" si="50"/>
        <v>4500</v>
      </c>
      <c r="AY119" s="31">
        <f t="shared" si="50"/>
        <v>4500</v>
      </c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9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>
        <f>400-400</f>
        <v>0</v>
      </c>
      <c r="CS119" s="31">
        <f>400-400</f>
        <v>0</v>
      </c>
      <c r="CT119" s="31">
        <v>400</v>
      </c>
      <c r="CU119" s="31">
        <v>400</v>
      </c>
      <c r="CV119" s="31">
        <v>400</v>
      </c>
      <c r="CW119" s="31">
        <v>400</v>
      </c>
      <c r="CX119" s="180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182"/>
      <c r="DM119" s="182"/>
      <c r="DN119" s="182"/>
      <c r="DO119" s="182"/>
      <c r="DP119" s="182"/>
      <c r="DQ119" s="182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>
        <v>400</v>
      </c>
      <c r="EF119" s="31">
        <v>400</v>
      </c>
      <c r="EG119" s="31">
        <v>400</v>
      </c>
      <c r="EH119" s="31">
        <v>400</v>
      </c>
      <c r="EI119" s="31">
        <v>400</v>
      </c>
      <c r="EJ119" s="28"/>
    </row>
    <row r="120" spans="1:140" s="32" customFormat="1" ht="22.5" customHeight="1">
      <c r="A120" s="59">
        <v>118</v>
      </c>
      <c r="B120" s="59" t="s">
        <v>1069</v>
      </c>
      <c r="C120" s="51" t="s">
        <v>1391</v>
      </c>
      <c r="D120" s="50">
        <f t="shared" si="47"/>
        <v>1800</v>
      </c>
      <c r="E120" s="80" t="s">
        <v>1392</v>
      </c>
      <c r="F120" s="52" t="s">
        <v>1133</v>
      </c>
      <c r="G120" s="141">
        <f>5000*6*0.9</f>
        <v>27000</v>
      </c>
      <c r="H120" s="52" t="s">
        <v>1133</v>
      </c>
      <c r="I120" s="89">
        <f t="shared" ref="I120:I133" si="51">400*6</f>
        <v>2400</v>
      </c>
      <c r="J120" s="52" t="s">
        <v>1133</v>
      </c>
      <c r="K120" s="8">
        <f>400*6</f>
        <v>2400</v>
      </c>
      <c r="L120" s="29">
        <f t="shared" si="41"/>
        <v>33600</v>
      </c>
      <c r="M120" s="29">
        <f t="shared" si="33"/>
        <v>31800</v>
      </c>
      <c r="N120" s="29">
        <f t="shared" si="42"/>
        <v>1800</v>
      </c>
      <c r="O120" s="29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>
        <f t="shared" si="50"/>
        <v>4500</v>
      </c>
      <c r="AU120" s="31">
        <f t="shared" si="50"/>
        <v>4500</v>
      </c>
      <c r="AV120" s="31">
        <f t="shared" si="50"/>
        <v>4500</v>
      </c>
      <c r="AW120" s="31">
        <f t="shared" si="50"/>
        <v>4500</v>
      </c>
      <c r="AX120" s="31">
        <f t="shared" si="50"/>
        <v>4500</v>
      </c>
      <c r="AY120" s="31">
        <f t="shared" si="50"/>
        <v>4500</v>
      </c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9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>
        <v>400</v>
      </c>
      <c r="CS120" s="31">
        <v>400</v>
      </c>
      <c r="CT120" s="31">
        <v>400</v>
      </c>
      <c r="CU120" s="31">
        <v>400</v>
      </c>
      <c r="CV120" s="31">
        <v>400</v>
      </c>
      <c r="CW120" s="31">
        <v>400</v>
      </c>
      <c r="CX120" s="180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182"/>
      <c r="DM120" s="182"/>
      <c r="DN120" s="182"/>
      <c r="DO120" s="182"/>
      <c r="DP120" s="182"/>
      <c r="DQ120" s="182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>
        <v>400</v>
      </c>
      <c r="EE120" s="31">
        <v>400</v>
      </c>
      <c r="EF120" s="31">
        <v>400</v>
      </c>
      <c r="EG120" s="31">
        <v>400</v>
      </c>
      <c r="EH120" s="31">
        <v>400</v>
      </c>
      <c r="EI120" s="31">
        <v>400</v>
      </c>
      <c r="EJ120" s="28"/>
    </row>
    <row r="121" spans="1:140" s="32" customFormat="1" ht="22.5" customHeight="1">
      <c r="A121" s="59">
        <v>119</v>
      </c>
      <c r="B121" s="59" t="s">
        <v>1069</v>
      </c>
      <c r="C121" s="51" t="s">
        <v>1393</v>
      </c>
      <c r="D121" s="50">
        <f t="shared" si="47"/>
        <v>1800</v>
      </c>
      <c r="E121" s="80" t="s">
        <v>1394</v>
      </c>
      <c r="F121" s="52" t="s">
        <v>1133</v>
      </c>
      <c r="G121" s="141">
        <f>5000*6*0.9</f>
        <v>27000</v>
      </c>
      <c r="H121" s="52" t="s">
        <v>1133</v>
      </c>
      <c r="I121" s="89">
        <f t="shared" si="51"/>
        <v>2400</v>
      </c>
      <c r="J121" s="52" t="s">
        <v>1133</v>
      </c>
      <c r="K121" s="8">
        <f>400*6</f>
        <v>2400</v>
      </c>
      <c r="L121" s="29">
        <f t="shared" si="41"/>
        <v>33600</v>
      </c>
      <c r="M121" s="29">
        <f t="shared" si="33"/>
        <v>31800</v>
      </c>
      <c r="N121" s="29">
        <f t="shared" si="42"/>
        <v>1800</v>
      </c>
      <c r="O121" s="29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>
        <f t="shared" si="50"/>
        <v>4500</v>
      </c>
      <c r="AU121" s="31">
        <f t="shared" si="50"/>
        <v>4500</v>
      </c>
      <c r="AV121" s="31">
        <f t="shared" si="50"/>
        <v>4500</v>
      </c>
      <c r="AW121" s="31">
        <f t="shared" si="50"/>
        <v>4500</v>
      </c>
      <c r="AX121" s="31">
        <f t="shared" si="50"/>
        <v>4500</v>
      </c>
      <c r="AY121" s="31">
        <f t="shared" si="50"/>
        <v>4500</v>
      </c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9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>
        <v>400</v>
      </c>
      <c r="CS121" s="31">
        <v>400</v>
      </c>
      <c r="CT121" s="31">
        <v>400</v>
      </c>
      <c r="CU121" s="31">
        <v>400</v>
      </c>
      <c r="CV121" s="31">
        <v>400</v>
      </c>
      <c r="CW121" s="31">
        <v>400</v>
      </c>
      <c r="CX121" s="180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182"/>
      <c r="DM121" s="182"/>
      <c r="DN121" s="182"/>
      <c r="DO121" s="182"/>
      <c r="DP121" s="182"/>
      <c r="DQ121" s="182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>
        <v>400</v>
      </c>
      <c r="EE121" s="31">
        <v>400</v>
      </c>
      <c r="EF121" s="31">
        <v>400</v>
      </c>
      <c r="EG121" s="31">
        <v>400</v>
      </c>
      <c r="EH121" s="31">
        <v>400</v>
      </c>
      <c r="EI121" s="31">
        <v>400</v>
      </c>
      <c r="EJ121" s="28"/>
    </row>
    <row r="122" spans="1:140" s="32" customFormat="1" ht="22.5" customHeight="1">
      <c r="A122" s="59">
        <v>120</v>
      </c>
      <c r="B122" s="59" t="s">
        <v>1069</v>
      </c>
      <c r="C122" s="51" t="s">
        <v>1395</v>
      </c>
      <c r="D122" s="50">
        <f t="shared" si="47"/>
        <v>1800</v>
      </c>
      <c r="E122" s="80" t="s">
        <v>1396</v>
      </c>
      <c r="F122" s="52" t="s">
        <v>1133</v>
      </c>
      <c r="G122" s="141">
        <f>5000*6*0.9</f>
        <v>27000</v>
      </c>
      <c r="H122" s="52" t="s">
        <v>1133</v>
      </c>
      <c r="I122" s="89">
        <f t="shared" si="51"/>
        <v>2400</v>
      </c>
      <c r="J122" s="52" t="s">
        <v>1133</v>
      </c>
      <c r="K122" s="8">
        <f>400*6</f>
        <v>2400</v>
      </c>
      <c r="L122" s="29">
        <f t="shared" si="41"/>
        <v>33600</v>
      </c>
      <c r="M122" s="29">
        <f t="shared" si="33"/>
        <v>31800</v>
      </c>
      <c r="N122" s="29">
        <f t="shared" si="42"/>
        <v>1800</v>
      </c>
      <c r="O122" s="29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>
        <f t="shared" si="50"/>
        <v>4500</v>
      </c>
      <c r="AU122" s="31">
        <f t="shared" si="50"/>
        <v>4500</v>
      </c>
      <c r="AV122" s="31">
        <f t="shared" si="50"/>
        <v>4500</v>
      </c>
      <c r="AW122" s="31">
        <f t="shared" si="50"/>
        <v>4500</v>
      </c>
      <c r="AX122" s="31">
        <f t="shared" si="50"/>
        <v>4500</v>
      </c>
      <c r="AY122" s="31">
        <f t="shared" si="50"/>
        <v>4500</v>
      </c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9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>
        <v>400</v>
      </c>
      <c r="CS122" s="31">
        <v>400</v>
      </c>
      <c r="CT122" s="31">
        <v>400</v>
      </c>
      <c r="CU122" s="31">
        <v>400</v>
      </c>
      <c r="CV122" s="31">
        <v>400</v>
      </c>
      <c r="CW122" s="31">
        <v>400</v>
      </c>
      <c r="CX122" s="180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182"/>
      <c r="DM122" s="182"/>
      <c r="DN122" s="182"/>
      <c r="DO122" s="182"/>
      <c r="DP122" s="182"/>
      <c r="DQ122" s="182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>
        <v>400</v>
      </c>
      <c r="EE122" s="31">
        <v>400</v>
      </c>
      <c r="EF122" s="31">
        <v>400</v>
      </c>
      <c r="EG122" s="31">
        <v>400</v>
      </c>
      <c r="EH122" s="31">
        <v>400</v>
      </c>
      <c r="EI122" s="31">
        <v>400</v>
      </c>
      <c r="EJ122" s="28"/>
    </row>
    <row r="123" spans="1:140" s="32" customFormat="1" ht="22.5" customHeight="1">
      <c r="A123" s="59">
        <v>121</v>
      </c>
      <c r="B123" s="59" t="s">
        <v>1069</v>
      </c>
      <c r="C123" s="51" t="s">
        <v>1397</v>
      </c>
      <c r="D123" s="50">
        <f t="shared" si="47"/>
        <v>1800</v>
      </c>
      <c r="E123" s="80" t="s">
        <v>1398</v>
      </c>
      <c r="F123" s="52" t="s">
        <v>1133</v>
      </c>
      <c r="G123" s="141">
        <f>3800*6*0.85</f>
        <v>19380</v>
      </c>
      <c r="H123" s="52" t="s">
        <v>1133</v>
      </c>
      <c r="I123" s="89">
        <f t="shared" si="51"/>
        <v>2400</v>
      </c>
      <c r="J123" s="52"/>
      <c r="K123" s="8"/>
      <c r="L123" s="29">
        <f t="shared" si="41"/>
        <v>23580</v>
      </c>
      <c r="M123" s="29">
        <f t="shared" si="33"/>
        <v>21780</v>
      </c>
      <c r="N123" s="29">
        <f t="shared" si="42"/>
        <v>1800</v>
      </c>
      <c r="O123" s="29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>
        <f t="shared" ref="AT123:AY123" si="52">3800*0.85</f>
        <v>3230</v>
      </c>
      <c r="AU123" s="31">
        <f t="shared" si="52"/>
        <v>3230</v>
      </c>
      <c r="AV123" s="31">
        <f t="shared" si="52"/>
        <v>3230</v>
      </c>
      <c r="AW123" s="31">
        <f t="shared" si="52"/>
        <v>3230</v>
      </c>
      <c r="AX123" s="31">
        <f t="shared" si="52"/>
        <v>3230</v>
      </c>
      <c r="AY123" s="31">
        <f t="shared" si="52"/>
        <v>3230</v>
      </c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9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>
        <v>400</v>
      </c>
      <c r="CS123" s="31">
        <v>400</v>
      </c>
      <c r="CT123" s="31">
        <v>400</v>
      </c>
      <c r="CU123" s="31">
        <v>400</v>
      </c>
      <c r="CV123" s="31">
        <v>400</v>
      </c>
      <c r="CW123" s="31">
        <v>400</v>
      </c>
      <c r="CX123" s="180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182"/>
      <c r="DM123" s="182"/>
      <c r="DN123" s="182"/>
      <c r="DO123" s="182"/>
      <c r="DP123" s="182"/>
      <c r="DQ123" s="182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28"/>
    </row>
    <row r="124" spans="1:140" s="32" customFormat="1" ht="22.5" customHeight="1">
      <c r="A124" s="59">
        <v>122</v>
      </c>
      <c r="B124" s="59" t="s">
        <v>1069</v>
      </c>
      <c r="C124" s="51" t="s">
        <v>1399</v>
      </c>
      <c r="D124" s="50">
        <f t="shared" si="47"/>
        <v>1800</v>
      </c>
      <c r="E124" s="80" t="s">
        <v>1400</v>
      </c>
      <c r="F124" s="52" t="s">
        <v>1133</v>
      </c>
      <c r="G124" s="141">
        <f>5000*6*0.9</f>
        <v>27000</v>
      </c>
      <c r="H124" s="52" t="s">
        <v>1133</v>
      </c>
      <c r="I124" s="89">
        <f t="shared" si="51"/>
        <v>2400</v>
      </c>
      <c r="J124" s="52"/>
      <c r="K124" s="8"/>
      <c r="L124" s="29">
        <f t="shared" si="41"/>
        <v>31200</v>
      </c>
      <c r="M124" s="29">
        <f t="shared" si="33"/>
        <v>29400</v>
      </c>
      <c r="N124" s="29">
        <f t="shared" si="42"/>
        <v>1800</v>
      </c>
      <c r="O124" s="29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>
        <f t="shared" ref="AT124:AY125" si="53">5000*0.9</f>
        <v>4500</v>
      </c>
      <c r="AU124" s="31">
        <f t="shared" si="53"/>
        <v>4500</v>
      </c>
      <c r="AV124" s="31">
        <f t="shared" si="53"/>
        <v>4500</v>
      </c>
      <c r="AW124" s="31">
        <f t="shared" si="53"/>
        <v>4500</v>
      </c>
      <c r="AX124" s="31">
        <f t="shared" si="53"/>
        <v>4500</v>
      </c>
      <c r="AY124" s="31">
        <f t="shared" si="53"/>
        <v>4500</v>
      </c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9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>
        <v>400</v>
      </c>
      <c r="CS124" s="31">
        <v>400</v>
      </c>
      <c r="CT124" s="31">
        <v>400</v>
      </c>
      <c r="CU124" s="31">
        <v>400</v>
      </c>
      <c r="CV124" s="31">
        <v>400</v>
      </c>
      <c r="CW124" s="31">
        <v>400</v>
      </c>
      <c r="CX124" s="180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182"/>
      <c r="DM124" s="182"/>
      <c r="DN124" s="182"/>
      <c r="DO124" s="182"/>
      <c r="DP124" s="182"/>
      <c r="DQ124" s="182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28"/>
    </row>
    <row r="125" spans="1:140" s="32" customFormat="1" ht="22.5" customHeight="1">
      <c r="A125" s="59">
        <v>123</v>
      </c>
      <c r="B125" s="59" t="s">
        <v>1069</v>
      </c>
      <c r="C125" s="51" t="s">
        <v>1401</v>
      </c>
      <c r="D125" s="50">
        <f t="shared" si="47"/>
        <v>1800</v>
      </c>
      <c r="E125" s="80" t="s">
        <v>1402</v>
      </c>
      <c r="F125" s="52" t="s">
        <v>1133</v>
      </c>
      <c r="G125" s="141">
        <f>5000*6*0.9</f>
        <v>27000</v>
      </c>
      <c r="H125" s="52" t="s">
        <v>1133</v>
      </c>
      <c r="I125" s="89">
        <f t="shared" si="51"/>
        <v>2400</v>
      </c>
      <c r="J125" s="52" t="s">
        <v>1378</v>
      </c>
      <c r="K125" s="8">
        <f>400*5</f>
        <v>2000</v>
      </c>
      <c r="L125" s="29">
        <f t="shared" si="41"/>
        <v>33200</v>
      </c>
      <c r="M125" s="29">
        <f t="shared" si="33"/>
        <v>31400</v>
      </c>
      <c r="N125" s="29">
        <f t="shared" si="42"/>
        <v>1800</v>
      </c>
      <c r="O125" s="29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>
        <f t="shared" si="53"/>
        <v>4500</v>
      </c>
      <c r="AU125" s="31">
        <f t="shared" si="53"/>
        <v>4500</v>
      </c>
      <c r="AV125" s="31">
        <f t="shared" si="53"/>
        <v>4500</v>
      </c>
      <c r="AW125" s="31">
        <f t="shared" si="53"/>
        <v>4500</v>
      </c>
      <c r="AX125" s="31">
        <f t="shared" si="53"/>
        <v>4500</v>
      </c>
      <c r="AY125" s="31">
        <f t="shared" si="53"/>
        <v>4500</v>
      </c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9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>
        <v>400</v>
      </c>
      <c r="CS125" s="31">
        <v>400</v>
      </c>
      <c r="CT125" s="31">
        <v>400</v>
      </c>
      <c r="CU125" s="31">
        <v>400</v>
      </c>
      <c r="CV125" s="31">
        <v>400</v>
      </c>
      <c r="CW125" s="31">
        <v>400</v>
      </c>
      <c r="CX125" s="180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182"/>
      <c r="DM125" s="182"/>
      <c r="DN125" s="182"/>
      <c r="DO125" s="182"/>
      <c r="DP125" s="182"/>
      <c r="DQ125" s="182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>
        <v>400</v>
      </c>
      <c r="EF125" s="31">
        <v>400</v>
      </c>
      <c r="EG125" s="31">
        <v>400</v>
      </c>
      <c r="EH125" s="31">
        <v>400</v>
      </c>
      <c r="EI125" s="31">
        <v>400</v>
      </c>
      <c r="EJ125" s="28"/>
    </row>
    <row r="126" spans="1:140" s="32" customFormat="1" ht="22.5" customHeight="1">
      <c r="A126" s="59">
        <v>124</v>
      </c>
      <c r="B126" s="59" t="s">
        <v>1069</v>
      </c>
      <c r="C126" s="51" t="s">
        <v>1403</v>
      </c>
      <c r="D126" s="50">
        <f t="shared" si="47"/>
        <v>1800</v>
      </c>
      <c r="E126" s="80" t="s">
        <v>1402</v>
      </c>
      <c r="F126" s="52" t="s">
        <v>1133</v>
      </c>
      <c r="G126" s="141">
        <f>3800*6*0.85</f>
        <v>19380</v>
      </c>
      <c r="H126" s="52" t="s">
        <v>1133</v>
      </c>
      <c r="I126" s="89">
        <f t="shared" si="51"/>
        <v>2400</v>
      </c>
      <c r="J126" s="52"/>
      <c r="K126" s="8"/>
      <c r="L126" s="29">
        <f t="shared" si="41"/>
        <v>23580</v>
      </c>
      <c r="M126" s="29">
        <f t="shared" si="33"/>
        <v>21780</v>
      </c>
      <c r="N126" s="29">
        <f t="shared" si="42"/>
        <v>1800</v>
      </c>
      <c r="O126" s="29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>
        <f t="shared" ref="AT126:AY126" si="54">3800*0.85</f>
        <v>3230</v>
      </c>
      <c r="AU126" s="31">
        <f t="shared" si="54"/>
        <v>3230</v>
      </c>
      <c r="AV126" s="31">
        <f t="shared" si="54"/>
        <v>3230</v>
      </c>
      <c r="AW126" s="31">
        <f t="shared" si="54"/>
        <v>3230</v>
      </c>
      <c r="AX126" s="31">
        <f t="shared" si="54"/>
        <v>3230</v>
      </c>
      <c r="AY126" s="31">
        <f t="shared" si="54"/>
        <v>3230</v>
      </c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9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>
        <v>400</v>
      </c>
      <c r="CS126" s="31">
        <v>400</v>
      </c>
      <c r="CT126" s="31">
        <v>400</v>
      </c>
      <c r="CU126" s="31">
        <v>400</v>
      </c>
      <c r="CV126" s="31">
        <v>400</v>
      </c>
      <c r="CW126" s="31">
        <v>400</v>
      </c>
      <c r="CX126" s="180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182"/>
      <c r="DM126" s="182"/>
      <c r="DN126" s="182"/>
      <c r="DO126" s="182"/>
      <c r="DP126" s="182"/>
      <c r="DQ126" s="182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28"/>
    </row>
    <row r="127" spans="1:140" s="32" customFormat="1" ht="22.5" customHeight="1">
      <c r="A127" s="59">
        <v>125</v>
      </c>
      <c r="B127" s="59" t="s">
        <v>1069</v>
      </c>
      <c r="C127" s="51" t="s">
        <v>1404</v>
      </c>
      <c r="D127" s="50">
        <f t="shared" si="47"/>
        <v>1800</v>
      </c>
      <c r="E127" s="80" t="s">
        <v>1405</v>
      </c>
      <c r="F127" s="52" t="s">
        <v>1133</v>
      </c>
      <c r="G127" s="141">
        <f>5000*6*0.9</f>
        <v>27000</v>
      </c>
      <c r="H127" s="52" t="s">
        <v>1133</v>
      </c>
      <c r="I127" s="89">
        <f t="shared" si="51"/>
        <v>2400</v>
      </c>
      <c r="J127" s="52"/>
      <c r="K127" s="8"/>
      <c r="L127" s="29">
        <f t="shared" si="41"/>
        <v>31200</v>
      </c>
      <c r="M127" s="29">
        <f t="shared" si="33"/>
        <v>29400</v>
      </c>
      <c r="N127" s="29">
        <f t="shared" si="42"/>
        <v>1800</v>
      </c>
      <c r="O127" s="29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>
        <f t="shared" ref="AT127:AY127" si="55">5000*0.9</f>
        <v>4500</v>
      </c>
      <c r="AU127" s="31">
        <f t="shared" si="55"/>
        <v>4500</v>
      </c>
      <c r="AV127" s="31">
        <f t="shared" si="55"/>
        <v>4500</v>
      </c>
      <c r="AW127" s="31">
        <f t="shared" si="55"/>
        <v>4500</v>
      </c>
      <c r="AX127" s="31">
        <f t="shared" si="55"/>
        <v>4500</v>
      </c>
      <c r="AY127" s="31">
        <f t="shared" si="55"/>
        <v>4500</v>
      </c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9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>
        <v>400</v>
      </c>
      <c r="CS127" s="31">
        <v>400</v>
      </c>
      <c r="CT127" s="31">
        <v>400</v>
      </c>
      <c r="CU127" s="31">
        <v>400</v>
      </c>
      <c r="CV127" s="31">
        <v>400</v>
      </c>
      <c r="CW127" s="31">
        <v>400</v>
      </c>
      <c r="CX127" s="180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182"/>
      <c r="DM127" s="182"/>
      <c r="DN127" s="182"/>
      <c r="DO127" s="182"/>
      <c r="DP127" s="182"/>
      <c r="DQ127" s="182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28"/>
    </row>
    <row r="128" spans="1:140" s="32" customFormat="1" ht="22.5" customHeight="1">
      <c r="A128" s="59">
        <v>126</v>
      </c>
      <c r="B128" s="59" t="s">
        <v>1069</v>
      </c>
      <c r="C128" s="51" t="s">
        <v>1406</v>
      </c>
      <c r="D128" s="50">
        <f t="shared" si="47"/>
        <v>1800</v>
      </c>
      <c r="E128" s="80" t="s">
        <v>1407</v>
      </c>
      <c r="F128" s="52" t="s">
        <v>1133</v>
      </c>
      <c r="G128" s="141">
        <f t="shared" ref="G128:G133" si="56">3800*6*0.85</f>
        <v>19380</v>
      </c>
      <c r="H128" s="52" t="s">
        <v>1133</v>
      </c>
      <c r="I128" s="89">
        <f t="shared" si="51"/>
        <v>2400</v>
      </c>
      <c r="J128" s="52"/>
      <c r="K128" s="8"/>
      <c r="L128" s="29">
        <f t="shared" si="41"/>
        <v>23580</v>
      </c>
      <c r="M128" s="29">
        <f t="shared" si="33"/>
        <v>21780</v>
      </c>
      <c r="N128" s="29">
        <f t="shared" si="42"/>
        <v>1800</v>
      </c>
      <c r="O128" s="29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>
        <f t="shared" ref="AT128:AY133" si="57">3800*0.85</f>
        <v>3230</v>
      </c>
      <c r="AU128" s="31">
        <f t="shared" si="57"/>
        <v>3230</v>
      </c>
      <c r="AV128" s="31">
        <f t="shared" si="57"/>
        <v>3230</v>
      </c>
      <c r="AW128" s="31">
        <f t="shared" si="57"/>
        <v>3230</v>
      </c>
      <c r="AX128" s="31">
        <f t="shared" si="57"/>
        <v>3230</v>
      </c>
      <c r="AY128" s="31">
        <f t="shared" si="57"/>
        <v>3230</v>
      </c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9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>
        <v>400</v>
      </c>
      <c r="CS128" s="31">
        <v>400</v>
      </c>
      <c r="CT128" s="31">
        <v>400</v>
      </c>
      <c r="CU128" s="31">
        <v>400</v>
      </c>
      <c r="CV128" s="31">
        <v>400</v>
      </c>
      <c r="CW128" s="31">
        <v>400</v>
      </c>
      <c r="CX128" s="180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182"/>
      <c r="DM128" s="182"/>
      <c r="DN128" s="182"/>
      <c r="DO128" s="182"/>
      <c r="DP128" s="182"/>
      <c r="DQ128" s="182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28"/>
    </row>
    <row r="129" spans="1:140" s="32" customFormat="1" ht="22.5" customHeight="1">
      <c r="A129" s="59">
        <v>127</v>
      </c>
      <c r="B129" s="59" t="s">
        <v>1069</v>
      </c>
      <c r="C129" s="51" t="s">
        <v>1408</v>
      </c>
      <c r="D129" s="50">
        <f t="shared" si="47"/>
        <v>1800</v>
      </c>
      <c r="E129" s="80" t="s">
        <v>1409</v>
      </c>
      <c r="F129" s="52" t="s">
        <v>1133</v>
      </c>
      <c r="G129" s="141">
        <f t="shared" si="56"/>
        <v>19380</v>
      </c>
      <c r="H129" s="52" t="s">
        <v>1133</v>
      </c>
      <c r="I129" s="89">
        <f t="shared" si="51"/>
        <v>2400</v>
      </c>
      <c r="J129" s="52"/>
      <c r="K129" s="8"/>
      <c r="L129" s="29">
        <f t="shared" si="41"/>
        <v>23580</v>
      </c>
      <c r="M129" s="29">
        <f t="shared" si="33"/>
        <v>21780</v>
      </c>
      <c r="N129" s="29">
        <f t="shared" si="42"/>
        <v>1800</v>
      </c>
      <c r="O129" s="29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>
        <f t="shared" si="57"/>
        <v>3230</v>
      </c>
      <c r="AU129" s="31">
        <f t="shared" si="57"/>
        <v>3230</v>
      </c>
      <c r="AV129" s="31">
        <f t="shared" si="57"/>
        <v>3230</v>
      </c>
      <c r="AW129" s="31">
        <f t="shared" si="57"/>
        <v>3230</v>
      </c>
      <c r="AX129" s="31">
        <f t="shared" si="57"/>
        <v>3230</v>
      </c>
      <c r="AY129" s="31">
        <f t="shared" si="57"/>
        <v>3230</v>
      </c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9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>
        <v>400</v>
      </c>
      <c r="CS129" s="31">
        <v>400</v>
      </c>
      <c r="CT129" s="31">
        <v>400</v>
      </c>
      <c r="CU129" s="31">
        <v>400</v>
      </c>
      <c r="CV129" s="31">
        <v>400</v>
      </c>
      <c r="CW129" s="31">
        <v>400</v>
      </c>
      <c r="CX129" s="180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182"/>
      <c r="DM129" s="182"/>
      <c r="DN129" s="182"/>
      <c r="DO129" s="182"/>
      <c r="DP129" s="182"/>
      <c r="DQ129" s="182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28"/>
    </row>
    <row r="130" spans="1:140" s="32" customFormat="1" ht="22.5" customHeight="1">
      <c r="A130" s="59">
        <v>128</v>
      </c>
      <c r="B130" s="59" t="s">
        <v>1069</v>
      </c>
      <c r="C130" s="51" t="s">
        <v>1410</v>
      </c>
      <c r="D130" s="50">
        <f>600+1200</f>
        <v>1800</v>
      </c>
      <c r="E130" s="80" t="s">
        <v>1411</v>
      </c>
      <c r="F130" s="52" t="s">
        <v>1133</v>
      </c>
      <c r="G130" s="141">
        <f t="shared" si="56"/>
        <v>19380</v>
      </c>
      <c r="H130" s="52" t="s">
        <v>1133</v>
      </c>
      <c r="I130" s="89">
        <f t="shared" si="51"/>
        <v>2400</v>
      </c>
      <c r="J130" s="52"/>
      <c r="K130" s="8"/>
      <c r="L130" s="29">
        <f t="shared" si="41"/>
        <v>23580</v>
      </c>
      <c r="M130" s="29">
        <f t="shared" si="33"/>
        <v>21780</v>
      </c>
      <c r="N130" s="29">
        <f t="shared" si="42"/>
        <v>1800</v>
      </c>
      <c r="O130" s="29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>
        <f t="shared" si="57"/>
        <v>3230</v>
      </c>
      <c r="AU130" s="31">
        <f t="shared" si="57"/>
        <v>3230</v>
      </c>
      <c r="AV130" s="31">
        <f t="shared" si="57"/>
        <v>3230</v>
      </c>
      <c r="AW130" s="31">
        <f t="shared" si="57"/>
        <v>3230</v>
      </c>
      <c r="AX130" s="31">
        <f t="shared" si="57"/>
        <v>3230</v>
      </c>
      <c r="AY130" s="31">
        <f t="shared" si="57"/>
        <v>3230</v>
      </c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9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>
        <v>400</v>
      </c>
      <c r="CS130" s="31">
        <v>400</v>
      </c>
      <c r="CT130" s="31">
        <v>400</v>
      </c>
      <c r="CU130" s="31">
        <v>400</v>
      </c>
      <c r="CV130" s="31">
        <v>400</v>
      </c>
      <c r="CW130" s="31">
        <v>400</v>
      </c>
      <c r="CX130" s="180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182"/>
      <c r="DM130" s="182"/>
      <c r="DN130" s="182"/>
      <c r="DO130" s="182"/>
      <c r="DP130" s="182"/>
      <c r="DQ130" s="182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28"/>
    </row>
    <row r="131" spans="1:140" s="32" customFormat="1" ht="22.5" customHeight="1">
      <c r="A131" s="59">
        <v>129</v>
      </c>
      <c r="B131" s="59" t="s">
        <v>1069</v>
      </c>
      <c r="C131" s="51" t="s">
        <v>1412</v>
      </c>
      <c r="D131" s="50">
        <f t="shared" ref="D131:D163" si="58">1200+600</f>
        <v>1800</v>
      </c>
      <c r="E131" s="80" t="s">
        <v>1405</v>
      </c>
      <c r="F131" s="52" t="s">
        <v>1133</v>
      </c>
      <c r="G131" s="141">
        <f t="shared" si="56"/>
        <v>19380</v>
      </c>
      <c r="H131" s="52" t="s">
        <v>1133</v>
      </c>
      <c r="I131" s="89">
        <f t="shared" si="51"/>
        <v>2400</v>
      </c>
      <c r="J131" s="52"/>
      <c r="K131" s="8"/>
      <c r="L131" s="29">
        <f t="shared" si="41"/>
        <v>23580</v>
      </c>
      <c r="M131" s="29">
        <f t="shared" si="33"/>
        <v>21780</v>
      </c>
      <c r="N131" s="29">
        <f t="shared" si="42"/>
        <v>1800</v>
      </c>
      <c r="O131" s="29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>
        <f t="shared" si="57"/>
        <v>3230</v>
      </c>
      <c r="AU131" s="31">
        <f t="shared" si="57"/>
        <v>3230</v>
      </c>
      <c r="AV131" s="31">
        <f t="shared" si="57"/>
        <v>3230</v>
      </c>
      <c r="AW131" s="31">
        <f t="shared" si="57"/>
        <v>3230</v>
      </c>
      <c r="AX131" s="31">
        <f t="shared" si="57"/>
        <v>3230</v>
      </c>
      <c r="AY131" s="31">
        <f t="shared" si="57"/>
        <v>3230</v>
      </c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9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>
        <v>400</v>
      </c>
      <c r="CS131" s="31">
        <v>400</v>
      </c>
      <c r="CT131" s="31">
        <v>400</v>
      </c>
      <c r="CU131" s="31">
        <v>400</v>
      </c>
      <c r="CV131" s="31">
        <v>400</v>
      </c>
      <c r="CW131" s="31">
        <v>400</v>
      </c>
      <c r="CX131" s="180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182"/>
      <c r="DM131" s="182"/>
      <c r="DN131" s="182"/>
      <c r="DO131" s="182"/>
      <c r="DP131" s="182"/>
      <c r="DQ131" s="182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28"/>
    </row>
    <row r="132" spans="1:140" s="32" customFormat="1" ht="22.5" customHeight="1">
      <c r="A132" s="59">
        <v>130</v>
      </c>
      <c r="B132" s="59" t="s">
        <v>1069</v>
      </c>
      <c r="C132" s="51" t="s">
        <v>1413</v>
      </c>
      <c r="D132" s="50">
        <f t="shared" si="58"/>
        <v>1800</v>
      </c>
      <c r="E132" s="80" t="s">
        <v>1414</v>
      </c>
      <c r="F132" s="52" t="s">
        <v>1133</v>
      </c>
      <c r="G132" s="141">
        <f t="shared" si="56"/>
        <v>19380</v>
      </c>
      <c r="H132" s="52" t="s">
        <v>1133</v>
      </c>
      <c r="I132" s="89">
        <f t="shared" si="51"/>
        <v>2400</v>
      </c>
      <c r="J132" s="52" t="s">
        <v>1133</v>
      </c>
      <c r="K132" s="8">
        <f>400*6</f>
        <v>2400</v>
      </c>
      <c r="L132" s="29">
        <f t="shared" si="41"/>
        <v>25980</v>
      </c>
      <c r="M132" s="29">
        <f t="shared" si="33"/>
        <v>24180</v>
      </c>
      <c r="N132" s="29">
        <f t="shared" si="42"/>
        <v>1800</v>
      </c>
      <c r="O132" s="29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>
        <f t="shared" si="57"/>
        <v>3230</v>
      </c>
      <c r="AU132" s="31">
        <f t="shared" si="57"/>
        <v>3230</v>
      </c>
      <c r="AV132" s="31">
        <f t="shared" si="57"/>
        <v>3230</v>
      </c>
      <c r="AW132" s="31">
        <f t="shared" si="57"/>
        <v>3230</v>
      </c>
      <c r="AX132" s="31">
        <f t="shared" si="57"/>
        <v>3230</v>
      </c>
      <c r="AY132" s="31">
        <f t="shared" si="57"/>
        <v>3230</v>
      </c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9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>
        <v>400</v>
      </c>
      <c r="CS132" s="31">
        <v>400</v>
      </c>
      <c r="CT132" s="31">
        <v>400</v>
      </c>
      <c r="CU132" s="31">
        <v>400</v>
      </c>
      <c r="CV132" s="31">
        <v>400</v>
      </c>
      <c r="CW132" s="31">
        <v>400</v>
      </c>
      <c r="CX132" s="180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182"/>
      <c r="DM132" s="182"/>
      <c r="DN132" s="182"/>
      <c r="DO132" s="182"/>
      <c r="DP132" s="182"/>
      <c r="DQ132" s="182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>
        <v>400</v>
      </c>
      <c r="EE132" s="31">
        <v>400</v>
      </c>
      <c r="EF132" s="31">
        <v>400</v>
      </c>
      <c r="EG132" s="31">
        <v>400</v>
      </c>
      <c r="EH132" s="31">
        <v>400</v>
      </c>
      <c r="EI132" s="31">
        <v>400</v>
      </c>
      <c r="EJ132" s="28"/>
    </row>
    <row r="133" spans="1:140" s="32" customFormat="1" ht="22.5" customHeight="1">
      <c r="A133" s="59">
        <v>131</v>
      </c>
      <c r="B133" s="59" t="s">
        <v>1069</v>
      </c>
      <c r="C133" s="51" t="s">
        <v>1415</v>
      </c>
      <c r="D133" s="50">
        <f t="shared" si="58"/>
        <v>1800</v>
      </c>
      <c r="E133" s="80" t="s">
        <v>1414</v>
      </c>
      <c r="F133" s="52" t="s">
        <v>1133</v>
      </c>
      <c r="G133" s="141">
        <f t="shared" si="56"/>
        <v>19380</v>
      </c>
      <c r="H133" s="52" t="s">
        <v>1133</v>
      </c>
      <c r="I133" s="89">
        <f t="shared" si="51"/>
        <v>2400</v>
      </c>
      <c r="J133" s="52"/>
      <c r="K133" s="8"/>
      <c r="L133" s="29">
        <f t="shared" si="41"/>
        <v>23580</v>
      </c>
      <c r="M133" s="29">
        <f t="shared" si="33"/>
        <v>21780</v>
      </c>
      <c r="N133" s="29">
        <f t="shared" si="42"/>
        <v>1800</v>
      </c>
      <c r="O133" s="29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>
        <f t="shared" si="57"/>
        <v>3230</v>
      </c>
      <c r="AU133" s="31">
        <f t="shared" si="57"/>
        <v>3230</v>
      </c>
      <c r="AV133" s="31">
        <f t="shared" si="57"/>
        <v>3230</v>
      </c>
      <c r="AW133" s="31">
        <f t="shared" si="57"/>
        <v>3230</v>
      </c>
      <c r="AX133" s="31">
        <f t="shared" si="57"/>
        <v>3230</v>
      </c>
      <c r="AY133" s="31">
        <f t="shared" si="57"/>
        <v>3230</v>
      </c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9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>
        <v>400</v>
      </c>
      <c r="CS133" s="31">
        <v>400</v>
      </c>
      <c r="CT133" s="31">
        <v>400</v>
      </c>
      <c r="CU133" s="31">
        <v>400</v>
      </c>
      <c r="CV133" s="31">
        <v>400</v>
      </c>
      <c r="CW133" s="31">
        <v>400</v>
      </c>
      <c r="CX133" s="180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182"/>
      <c r="DM133" s="182"/>
      <c r="DN133" s="182"/>
      <c r="DO133" s="182"/>
      <c r="DP133" s="182"/>
      <c r="DQ133" s="182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28"/>
    </row>
    <row r="134" spans="1:140" s="32" customFormat="1" ht="22.5" customHeight="1">
      <c r="A134" s="59">
        <v>132</v>
      </c>
      <c r="B134" s="59" t="s">
        <v>1069</v>
      </c>
      <c r="C134" s="51" t="s">
        <v>1416</v>
      </c>
      <c r="D134" s="50">
        <f t="shared" si="58"/>
        <v>1800</v>
      </c>
      <c r="E134" s="80" t="s">
        <v>1417</v>
      </c>
      <c r="F134" s="52" t="s">
        <v>1133</v>
      </c>
      <c r="G134" s="141">
        <f>3800*6*0.9</f>
        <v>20520</v>
      </c>
      <c r="H134" s="52" t="s">
        <v>1133</v>
      </c>
      <c r="I134" s="89">
        <f>400*6</f>
        <v>2400</v>
      </c>
      <c r="J134" s="52" t="s">
        <v>1378</v>
      </c>
      <c r="K134" s="8">
        <f>400*5</f>
        <v>2000</v>
      </c>
      <c r="L134" s="29">
        <f t="shared" si="41"/>
        <v>26720</v>
      </c>
      <c r="M134" s="29">
        <f t="shared" si="33"/>
        <v>24920</v>
      </c>
      <c r="N134" s="29">
        <f t="shared" si="42"/>
        <v>1800</v>
      </c>
      <c r="O134" s="29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>
        <f t="shared" ref="AT134:AY134" si="59">3800*0.9</f>
        <v>3420</v>
      </c>
      <c r="AU134" s="31">
        <f t="shared" si="59"/>
        <v>3420</v>
      </c>
      <c r="AV134" s="31">
        <f t="shared" si="59"/>
        <v>3420</v>
      </c>
      <c r="AW134" s="31">
        <f t="shared" si="59"/>
        <v>3420</v>
      </c>
      <c r="AX134" s="31">
        <f t="shared" si="59"/>
        <v>3420</v>
      </c>
      <c r="AY134" s="31">
        <f t="shared" si="59"/>
        <v>3420</v>
      </c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9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>
        <v>400</v>
      </c>
      <c r="CS134" s="31">
        <v>400</v>
      </c>
      <c r="CT134" s="31">
        <v>400</v>
      </c>
      <c r="CU134" s="31">
        <v>400</v>
      </c>
      <c r="CV134" s="31">
        <v>400</v>
      </c>
      <c r="CW134" s="31">
        <v>400</v>
      </c>
      <c r="CX134" s="180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182"/>
      <c r="DM134" s="182"/>
      <c r="DN134" s="182"/>
      <c r="DO134" s="182"/>
      <c r="DP134" s="182"/>
      <c r="DQ134" s="182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>
        <v>400</v>
      </c>
      <c r="EF134" s="31">
        <v>400</v>
      </c>
      <c r="EG134" s="31">
        <v>400</v>
      </c>
      <c r="EH134" s="31">
        <v>400</v>
      </c>
      <c r="EI134" s="31">
        <v>400</v>
      </c>
      <c r="EJ134" s="28"/>
    </row>
    <row r="135" spans="1:140" s="32" customFormat="1" ht="22.5" customHeight="1">
      <c r="A135" s="59">
        <v>133</v>
      </c>
      <c r="B135" s="59" t="s">
        <v>1069</v>
      </c>
      <c r="C135" s="51" t="s">
        <v>1418</v>
      </c>
      <c r="D135" s="50">
        <f t="shared" si="58"/>
        <v>1800</v>
      </c>
      <c r="E135" s="80" t="s">
        <v>1419</v>
      </c>
      <c r="F135" s="52" t="s">
        <v>1133</v>
      </c>
      <c r="G135" s="141">
        <f>3800*6*0.85+(5000-3800*0.85)*5</f>
        <v>28230</v>
      </c>
      <c r="H135" s="52" t="s">
        <v>1133</v>
      </c>
      <c r="I135" s="89">
        <f>400*6</f>
        <v>2400</v>
      </c>
      <c r="J135" s="52" t="s">
        <v>1378</v>
      </c>
      <c r="K135" s="8">
        <f>400*5</f>
        <v>2000</v>
      </c>
      <c r="L135" s="29">
        <f t="shared" si="41"/>
        <v>34430</v>
      </c>
      <c r="M135" s="29">
        <f t="shared" si="33"/>
        <v>32630</v>
      </c>
      <c r="N135" s="29">
        <f t="shared" si="42"/>
        <v>1800</v>
      </c>
      <c r="O135" s="29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>
        <f>3800*0.85</f>
        <v>3230</v>
      </c>
      <c r="AU135" s="31">
        <f>3800*0.85+(5000-3800*0.85)</f>
        <v>5000</v>
      </c>
      <c r="AV135" s="31">
        <f>3800*0.85+(5000-3800*0.85)</f>
        <v>5000</v>
      </c>
      <c r="AW135" s="31">
        <f>3800*0.85+(5000-3800*0.85)</f>
        <v>5000</v>
      </c>
      <c r="AX135" s="31">
        <f>3800*0.85+(5000-3800*0.85)</f>
        <v>5000</v>
      </c>
      <c r="AY135" s="31">
        <f>3800*0.85+(5000-3800*0.85)</f>
        <v>5000</v>
      </c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9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>
        <v>400</v>
      </c>
      <c r="CS135" s="31">
        <v>400</v>
      </c>
      <c r="CT135" s="31">
        <v>400</v>
      </c>
      <c r="CU135" s="31">
        <v>400</v>
      </c>
      <c r="CV135" s="31">
        <v>400</v>
      </c>
      <c r="CW135" s="31">
        <v>400</v>
      </c>
      <c r="CX135" s="180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182"/>
      <c r="DM135" s="182"/>
      <c r="DN135" s="182"/>
      <c r="DO135" s="182"/>
      <c r="DP135" s="182"/>
      <c r="DQ135" s="182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>
        <v>400</v>
      </c>
      <c r="EF135" s="31">
        <v>400</v>
      </c>
      <c r="EG135" s="31">
        <v>400</v>
      </c>
      <c r="EH135" s="31">
        <v>400</v>
      </c>
      <c r="EI135" s="31">
        <v>400</v>
      </c>
      <c r="EJ135" s="28"/>
    </row>
    <row r="136" spans="1:140" s="32" customFormat="1" ht="22.5" customHeight="1">
      <c r="A136" s="59">
        <v>134</v>
      </c>
      <c r="B136" s="59" t="s">
        <v>1069</v>
      </c>
      <c r="C136" s="51" t="s">
        <v>1420</v>
      </c>
      <c r="D136" s="50">
        <f t="shared" si="58"/>
        <v>1800</v>
      </c>
      <c r="E136" s="80" t="s">
        <v>1414</v>
      </c>
      <c r="F136" s="52" t="s">
        <v>1421</v>
      </c>
      <c r="G136" s="141">
        <f>3800*6*0.85-3230-3230</f>
        <v>12920</v>
      </c>
      <c r="H136" s="52" t="s">
        <v>1421</v>
      </c>
      <c r="I136" s="89">
        <f>400*6-400-400</f>
        <v>1600</v>
      </c>
      <c r="J136" s="52"/>
      <c r="K136" s="8"/>
      <c r="L136" s="29">
        <f t="shared" si="41"/>
        <v>16320</v>
      </c>
      <c r="M136" s="29">
        <f t="shared" si="33"/>
        <v>14520</v>
      </c>
      <c r="N136" s="29">
        <f t="shared" si="42"/>
        <v>1800</v>
      </c>
      <c r="O136" s="29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>
        <f>3800*0.85-3230</f>
        <v>0</v>
      </c>
      <c r="AU136" s="31">
        <f>3800*0.85-3230</f>
        <v>0</v>
      </c>
      <c r="AV136" s="31">
        <f t="shared" ref="AT136:AY137" si="60">3800*0.85</f>
        <v>3230</v>
      </c>
      <c r="AW136" s="31">
        <f t="shared" si="60"/>
        <v>3230</v>
      </c>
      <c r="AX136" s="31">
        <f t="shared" si="60"/>
        <v>3230</v>
      </c>
      <c r="AY136" s="31">
        <f t="shared" si="60"/>
        <v>3230</v>
      </c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9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>
        <f>400-400</f>
        <v>0</v>
      </c>
      <c r="CS136" s="31">
        <f>400-400</f>
        <v>0</v>
      </c>
      <c r="CT136" s="31">
        <v>400</v>
      </c>
      <c r="CU136" s="31">
        <v>400</v>
      </c>
      <c r="CV136" s="31">
        <v>400</v>
      </c>
      <c r="CW136" s="31">
        <v>400</v>
      </c>
      <c r="CX136" s="180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182"/>
      <c r="DM136" s="182"/>
      <c r="DN136" s="182"/>
      <c r="DO136" s="182"/>
      <c r="DP136" s="182"/>
      <c r="DQ136" s="182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28"/>
    </row>
    <row r="137" spans="1:140" s="32" customFormat="1" ht="22.5" customHeight="1">
      <c r="A137" s="59">
        <v>135</v>
      </c>
      <c r="B137" s="59" t="s">
        <v>1069</v>
      </c>
      <c r="C137" s="51" t="s">
        <v>1422</v>
      </c>
      <c r="D137" s="50">
        <f t="shared" si="58"/>
        <v>1800</v>
      </c>
      <c r="E137" s="80" t="s">
        <v>1423</v>
      </c>
      <c r="F137" s="52" t="s">
        <v>1133</v>
      </c>
      <c r="G137" s="141">
        <f>3800*6*0.85</f>
        <v>19380</v>
      </c>
      <c r="H137" s="52" t="s">
        <v>1133</v>
      </c>
      <c r="I137" s="89">
        <f>400*6</f>
        <v>2400</v>
      </c>
      <c r="J137" s="52"/>
      <c r="K137" s="8"/>
      <c r="L137" s="29">
        <f t="shared" si="41"/>
        <v>23580</v>
      </c>
      <c r="M137" s="29">
        <f t="shared" si="33"/>
        <v>21780</v>
      </c>
      <c r="N137" s="29">
        <f t="shared" si="42"/>
        <v>1800</v>
      </c>
      <c r="O137" s="29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>
        <f t="shared" si="60"/>
        <v>3230</v>
      </c>
      <c r="AU137" s="31">
        <f t="shared" si="60"/>
        <v>3230</v>
      </c>
      <c r="AV137" s="31">
        <f t="shared" si="60"/>
        <v>3230</v>
      </c>
      <c r="AW137" s="31">
        <f t="shared" si="60"/>
        <v>3230</v>
      </c>
      <c r="AX137" s="31">
        <f t="shared" si="60"/>
        <v>3230</v>
      </c>
      <c r="AY137" s="31">
        <f t="shared" si="60"/>
        <v>3230</v>
      </c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9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>
        <v>400</v>
      </c>
      <c r="CS137" s="31">
        <v>400</v>
      </c>
      <c r="CT137" s="31">
        <v>400</v>
      </c>
      <c r="CU137" s="31">
        <v>400</v>
      </c>
      <c r="CV137" s="31">
        <v>400</v>
      </c>
      <c r="CW137" s="31">
        <v>400</v>
      </c>
      <c r="CX137" s="180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182"/>
      <c r="DM137" s="182"/>
      <c r="DN137" s="182"/>
      <c r="DO137" s="182"/>
      <c r="DP137" s="182"/>
      <c r="DQ137" s="182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28"/>
    </row>
    <row r="138" spans="1:140" s="32" customFormat="1" ht="22.5" customHeight="1">
      <c r="A138" s="59">
        <v>136</v>
      </c>
      <c r="B138" s="59" t="s">
        <v>1069</v>
      </c>
      <c r="C138" s="51" t="s">
        <v>1424</v>
      </c>
      <c r="D138" s="50">
        <f t="shared" si="58"/>
        <v>1800</v>
      </c>
      <c r="E138" s="80" t="s">
        <v>1425</v>
      </c>
      <c r="F138" s="52"/>
      <c r="G138" s="141"/>
      <c r="H138" s="52" t="s">
        <v>1426</v>
      </c>
      <c r="I138" s="89">
        <f>13*20+400*5</f>
        <v>2260</v>
      </c>
      <c r="J138" s="52"/>
      <c r="K138" s="8"/>
      <c r="L138" s="29">
        <f t="shared" si="41"/>
        <v>4060</v>
      </c>
      <c r="M138" s="29">
        <f t="shared" si="33"/>
        <v>2260</v>
      </c>
      <c r="N138" s="29">
        <f t="shared" si="42"/>
        <v>1800</v>
      </c>
      <c r="O138" s="29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9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>
        <f>13*20</f>
        <v>260</v>
      </c>
      <c r="CS138" s="31">
        <v>400</v>
      </c>
      <c r="CT138" s="31">
        <v>400</v>
      </c>
      <c r="CU138" s="31">
        <v>400</v>
      </c>
      <c r="CV138" s="31">
        <v>400</v>
      </c>
      <c r="CW138" s="31">
        <v>400</v>
      </c>
      <c r="CX138" s="180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182"/>
      <c r="DM138" s="182"/>
      <c r="DN138" s="182"/>
      <c r="DO138" s="182"/>
      <c r="DP138" s="182"/>
      <c r="DQ138" s="182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28"/>
    </row>
    <row r="139" spans="1:140" s="32" customFormat="1" ht="22.5" customHeight="1">
      <c r="A139" s="59">
        <v>137</v>
      </c>
      <c r="B139" s="52" t="s">
        <v>1069</v>
      </c>
      <c r="C139" s="51" t="s">
        <v>1427</v>
      </c>
      <c r="D139" s="50">
        <f t="shared" si="58"/>
        <v>1800</v>
      </c>
      <c r="E139" s="80" t="s">
        <v>1428</v>
      </c>
      <c r="F139" s="52" t="s">
        <v>1378</v>
      </c>
      <c r="G139" s="141">
        <f>2500*6-2500</f>
        <v>12500</v>
      </c>
      <c r="H139" s="52" t="s">
        <v>1378</v>
      </c>
      <c r="I139" s="89">
        <f>400*5</f>
        <v>2000</v>
      </c>
      <c r="J139" s="52"/>
      <c r="K139" s="8"/>
      <c r="L139" s="29">
        <f t="shared" si="41"/>
        <v>16300</v>
      </c>
      <c r="M139" s="29">
        <f t="shared" si="33"/>
        <v>14500</v>
      </c>
      <c r="N139" s="29">
        <f>L139-M139</f>
        <v>1800</v>
      </c>
      <c r="O139" s="29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>
        <f>2500-2500</f>
        <v>0</v>
      </c>
      <c r="AU139" s="31">
        <v>2500</v>
      </c>
      <c r="AV139" s="31">
        <v>2500</v>
      </c>
      <c r="AW139" s="31">
        <v>2500</v>
      </c>
      <c r="AX139" s="31">
        <v>2500</v>
      </c>
      <c r="AY139" s="31">
        <v>2500</v>
      </c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9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>
        <v>400</v>
      </c>
      <c r="CT139" s="31">
        <v>400</v>
      </c>
      <c r="CU139" s="31">
        <v>400</v>
      </c>
      <c r="CV139" s="31">
        <v>400</v>
      </c>
      <c r="CW139" s="31">
        <v>400</v>
      </c>
      <c r="CX139" s="183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182"/>
      <c r="DM139" s="182"/>
      <c r="DN139" s="182"/>
      <c r="DO139" s="182"/>
      <c r="DP139" s="182"/>
      <c r="DQ139" s="182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28"/>
    </row>
    <row r="140" spans="1:140" s="32" customFormat="1" ht="22.5" customHeight="1">
      <c r="A140" s="59">
        <v>138</v>
      </c>
      <c r="B140" s="59" t="s">
        <v>1069</v>
      </c>
      <c r="C140" s="51" t="s">
        <v>1429</v>
      </c>
      <c r="D140" s="50">
        <f t="shared" si="58"/>
        <v>1800</v>
      </c>
      <c r="E140" s="80" t="s">
        <v>1430</v>
      </c>
      <c r="F140" s="52" t="s">
        <v>1378</v>
      </c>
      <c r="G140" s="141">
        <f>3800*6*0.85-3230</f>
        <v>16150</v>
      </c>
      <c r="H140" s="52" t="s">
        <v>1378</v>
      </c>
      <c r="I140" s="89">
        <f>400*5</f>
        <v>2000</v>
      </c>
      <c r="J140" s="52"/>
      <c r="K140" s="8"/>
      <c r="L140" s="29">
        <f t="shared" si="41"/>
        <v>19950</v>
      </c>
      <c r="M140" s="29">
        <f t="shared" si="33"/>
        <v>18150</v>
      </c>
      <c r="N140" s="29">
        <f t="shared" si="42"/>
        <v>1800</v>
      </c>
      <c r="O140" s="29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28"/>
      <c r="AO140" s="28"/>
      <c r="AP140" s="28"/>
      <c r="AQ140" s="28"/>
      <c r="AR140" s="28"/>
      <c r="AS140" s="28"/>
      <c r="AT140" s="31">
        <f t="shared" ref="AT140:AT184" si="61">3800*0.85-3230</f>
        <v>0</v>
      </c>
      <c r="AU140" s="31">
        <f t="shared" ref="AU140:AY184" si="62">3800*0.85</f>
        <v>3230</v>
      </c>
      <c r="AV140" s="31">
        <f t="shared" si="62"/>
        <v>3230</v>
      </c>
      <c r="AW140" s="31">
        <f t="shared" si="62"/>
        <v>3230</v>
      </c>
      <c r="AX140" s="31">
        <f t="shared" si="62"/>
        <v>3230</v>
      </c>
      <c r="AY140" s="31">
        <f t="shared" si="62"/>
        <v>3230</v>
      </c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9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>
        <v>400</v>
      </c>
      <c r="CT140" s="31">
        <v>400</v>
      </c>
      <c r="CU140" s="31">
        <v>400</v>
      </c>
      <c r="CV140" s="31">
        <v>400</v>
      </c>
      <c r="CW140" s="31">
        <v>400</v>
      </c>
      <c r="CX140" s="180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182"/>
      <c r="DM140" s="182"/>
      <c r="DN140" s="182"/>
      <c r="DO140" s="182"/>
      <c r="DP140" s="182"/>
      <c r="DQ140" s="182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28"/>
    </row>
    <row r="141" spans="1:140" s="32" customFormat="1" ht="22.5" customHeight="1">
      <c r="A141" s="59">
        <v>139</v>
      </c>
      <c r="B141" s="59" t="s">
        <v>1069</v>
      </c>
      <c r="C141" s="51" t="s">
        <v>1431</v>
      </c>
      <c r="D141" s="50">
        <f t="shared" si="58"/>
        <v>1800</v>
      </c>
      <c r="E141" s="80" t="s">
        <v>1432</v>
      </c>
      <c r="F141" s="52" t="s">
        <v>1378</v>
      </c>
      <c r="G141" s="141">
        <f>3800*6*0.85-3230</f>
        <v>16150</v>
      </c>
      <c r="H141" s="52" t="s">
        <v>1378</v>
      </c>
      <c r="I141" s="89">
        <f>400*5</f>
        <v>2000</v>
      </c>
      <c r="J141" s="52"/>
      <c r="K141" s="8"/>
      <c r="L141" s="29">
        <f t="shared" si="41"/>
        <v>19950</v>
      </c>
      <c r="M141" s="29">
        <f t="shared" si="33"/>
        <v>18150</v>
      </c>
      <c r="N141" s="29">
        <f t="shared" si="42"/>
        <v>1800</v>
      </c>
      <c r="O141" s="29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>
        <f t="shared" si="61"/>
        <v>0</v>
      </c>
      <c r="AU141" s="31">
        <f t="shared" si="62"/>
        <v>3230</v>
      </c>
      <c r="AV141" s="31">
        <f t="shared" si="62"/>
        <v>3230</v>
      </c>
      <c r="AW141" s="31">
        <f t="shared" si="62"/>
        <v>3230</v>
      </c>
      <c r="AX141" s="31">
        <f t="shared" si="62"/>
        <v>3230</v>
      </c>
      <c r="AY141" s="31">
        <f t="shared" si="62"/>
        <v>3230</v>
      </c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9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>
        <v>400</v>
      </c>
      <c r="CT141" s="31">
        <v>400</v>
      </c>
      <c r="CU141" s="31">
        <v>400</v>
      </c>
      <c r="CV141" s="31">
        <v>400</v>
      </c>
      <c r="CW141" s="31">
        <v>400</v>
      </c>
      <c r="CX141" s="180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182"/>
      <c r="DM141" s="182"/>
      <c r="DN141" s="182"/>
      <c r="DO141" s="182"/>
      <c r="DP141" s="182"/>
      <c r="DQ141" s="182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28"/>
    </row>
    <row r="142" spans="1:140" s="32" customFormat="1" ht="22.5" customHeight="1">
      <c r="A142" s="59">
        <v>140</v>
      </c>
      <c r="B142" s="59" t="s">
        <v>1069</v>
      </c>
      <c r="C142" s="51" t="s">
        <v>1433</v>
      </c>
      <c r="D142" s="50">
        <f t="shared" si="58"/>
        <v>1800</v>
      </c>
      <c r="E142" s="80" t="s">
        <v>1434</v>
      </c>
      <c r="F142" s="52" t="s">
        <v>1378</v>
      </c>
      <c r="G142" s="141">
        <f>3800*6*0.85-3800*0.85</f>
        <v>16150</v>
      </c>
      <c r="H142" s="52" t="s">
        <v>1378</v>
      </c>
      <c r="I142" s="89">
        <f>400*6-400</f>
        <v>2000</v>
      </c>
      <c r="J142" s="52" t="s">
        <v>1421</v>
      </c>
      <c r="K142" s="8">
        <f>400*4</f>
        <v>1600</v>
      </c>
      <c r="L142" s="29">
        <f t="shared" si="41"/>
        <v>21550</v>
      </c>
      <c r="M142" s="29">
        <f t="shared" si="33"/>
        <v>19750</v>
      </c>
      <c r="N142" s="29">
        <f t="shared" si="42"/>
        <v>1800</v>
      </c>
      <c r="O142" s="29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>
        <f t="shared" si="61"/>
        <v>0</v>
      </c>
      <c r="AU142" s="31">
        <f t="shared" si="62"/>
        <v>3230</v>
      </c>
      <c r="AV142" s="31">
        <f t="shared" si="62"/>
        <v>3230</v>
      </c>
      <c r="AW142" s="31">
        <f t="shared" si="62"/>
        <v>3230</v>
      </c>
      <c r="AX142" s="31">
        <f t="shared" si="62"/>
        <v>3230</v>
      </c>
      <c r="AY142" s="31">
        <f t="shared" si="62"/>
        <v>3230</v>
      </c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9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>
        <f>400-400</f>
        <v>0</v>
      </c>
      <c r="CS142" s="31">
        <v>400</v>
      </c>
      <c r="CT142" s="31">
        <v>400</v>
      </c>
      <c r="CU142" s="31">
        <v>400</v>
      </c>
      <c r="CV142" s="31">
        <v>400</v>
      </c>
      <c r="CW142" s="31">
        <v>400</v>
      </c>
      <c r="CX142" s="180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182"/>
      <c r="DM142" s="182"/>
      <c r="DN142" s="182"/>
      <c r="DO142" s="182"/>
      <c r="DP142" s="182"/>
      <c r="DQ142" s="182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>
        <v>400</v>
      </c>
      <c r="EG142" s="31">
        <v>400</v>
      </c>
      <c r="EH142" s="31">
        <v>400</v>
      </c>
      <c r="EI142" s="31">
        <v>400</v>
      </c>
      <c r="EJ142" s="28"/>
    </row>
    <row r="143" spans="1:140" s="32" customFormat="1" ht="22.5" customHeight="1">
      <c r="A143" s="59">
        <v>141</v>
      </c>
      <c r="B143" s="59" t="s">
        <v>1069</v>
      </c>
      <c r="C143" s="51" t="s">
        <v>1435</v>
      </c>
      <c r="D143" s="50">
        <f t="shared" si="58"/>
        <v>1800</v>
      </c>
      <c r="E143" s="80" t="s">
        <v>1436</v>
      </c>
      <c r="F143" s="52" t="s">
        <v>1378</v>
      </c>
      <c r="G143" s="141">
        <f>3800*6*0.85-3230</f>
        <v>16150</v>
      </c>
      <c r="H143" s="52" t="s">
        <v>1378</v>
      </c>
      <c r="I143" s="89">
        <f>400*5</f>
        <v>2000</v>
      </c>
      <c r="J143" s="52" t="s">
        <v>1421</v>
      </c>
      <c r="K143" s="8">
        <f>400*4</f>
        <v>1600</v>
      </c>
      <c r="L143" s="29">
        <f t="shared" si="41"/>
        <v>21550</v>
      </c>
      <c r="M143" s="29">
        <f t="shared" si="33"/>
        <v>19750</v>
      </c>
      <c r="N143" s="29">
        <f t="shared" si="42"/>
        <v>1800</v>
      </c>
      <c r="O143" s="29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>
        <f t="shared" si="61"/>
        <v>0</v>
      </c>
      <c r="AU143" s="31">
        <f t="shared" si="62"/>
        <v>3230</v>
      </c>
      <c r="AV143" s="31">
        <f t="shared" si="62"/>
        <v>3230</v>
      </c>
      <c r="AW143" s="31">
        <f t="shared" si="62"/>
        <v>3230</v>
      </c>
      <c r="AX143" s="31">
        <f t="shared" si="62"/>
        <v>3230</v>
      </c>
      <c r="AY143" s="31">
        <f t="shared" si="62"/>
        <v>3230</v>
      </c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9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>
        <v>400</v>
      </c>
      <c r="CT143" s="31">
        <v>400</v>
      </c>
      <c r="CU143" s="31">
        <v>400</v>
      </c>
      <c r="CV143" s="31">
        <v>400</v>
      </c>
      <c r="CW143" s="31">
        <v>400</v>
      </c>
      <c r="CX143" s="180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182"/>
      <c r="DM143" s="182"/>
      <c r="DN143" s="182"/>
      <c r="DO143" s="182"/>
      <c r="DP143" s="182"/>
      <c r="DQ143" s="182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>
        <v>400</v>
      </c>
      <c r="EG143" s="31">
        <v>400</v>
      </c>
      <c r="EH143" s="31">
        <v>400</v>
      </c>
      <c r="EI143" s="31">
        <v>400</v>
      </c>
      <c r="EJ143" s="28"/>
    </row>
    <row r="144" spans="1:140" s="32" customFormat="1" ht="22.5" customHeight="1">
      <c r="A144" s="59">
        <v>142</v>
      </c>
      <c r="B144" s="59" t="s">
        <v>1069</v>
      </c>
      <c r="C144" s="51" t="s">
        <v>1437</v>
      </c>
      <c r="D144" s="50">
        <f t="shared" si="58"/>
        <v>1800</v>
      </c>
      <c r="E144" s="80" t="s">
        <v>1438</v>
      </c>
      <c r="F144" s="52" t="s">
        <v>1378</v>
      </c>
      <c r="G144" s="141">
        <f>3800*6*0.85-3230</f>
        <v>16150</v>
      </c>
      <c r="H144" s="52" t="s">
        <v>1378</v>
      </c>
      <c r="I144" s="89">
        <f>400*5</f>
        <v>2000</v>
      </c>
      <c r="J144" s="52"/>
      <c r="K144" s="8"/>
      <c r="L144" s="29">
        <f t="shared" si="41"/>
        <v>19950</v>
      </c>
      <c r="M144" s="29">
        <f t="shared" si="33"/>
        <v>18150</v>
      </c>
      <c r="N144" s="29">
        <f t="shared" si="42"/>
        <v>1800</v>
      </c>
      <c r="O144" s="29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>
        <f t="shared" si="61"/>
        <v>0</v>
      </c>
      <c r="AU144" s="31">
        <f t="shared" si="62"/>
        <v>3230</v>
      </c>
      <c r="AV144" s="31">
        <f t="shared" si="62"/>
        <v>3230</v>
      </c>
      <c r="AW144" s="31">
        <f t="shared" si="62"/>
        <v>3230</v>
      </c>
      <c r="AX144" s="31">
        <f t="shared" si="62"/>
        <v>3230</v>
      </c>
      <c r="AY144" s="31">
        <f t="shared" si="62"/>
        <v>3230</v>
      </c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9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>
        <v>400</v>
      </c>
      <c r="CT144" s="31">
        <v>400</v>
      </c>
      <c r="CU144" s="31">
        <v>400</v>
      </c>
      <c r="CV144" s="31">
        <v>400</v>
      </c>
      <c r="CW144" s="31">
        <v>400</v>
      </c>
      <c r="CX144" s="180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182"/>
      <c r="DM144" s="182"/>
      <c r="DN144" s="182"/>
      <c r="DO144" s="182"/>
      <c r="DP144" s="182"/>
      <c r="DQ144" s="182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28"/>
    </row>
    <row r="145" spans="1:140" s="32" customFormat="1" ht="22.5" customHeight="1">
      <c r="A145" s="59">
        <v>143</v>
      </c>
      <c r="B145" s="59" t="s">
        <v>1069</v>
      </c>
      <c r="C145" s="51" t="s">
        <v>1439</v>
      </c>
      <c r="D145" s="50">
        <f t="shared" si="58"/>
        <v>1800</v>
      </c>
      <c r="E145" s="80" t="s">
        <v>1440</v>
      </c>
      <c r="F145" s="52" t="s">
        <v>1378</v>
      </c>
      <c r="G145" s="141">
        <f>3800*5*0.85</f>
        <v>16150</v>
      </c>
      <c r="H145" s="52" t="s">
        <v>1378</v>
      </c>
      <c r="I145" s="89">
        <f>400*5</f>
        <v>2000</v>
      </c>
      <c r="J145" s="52" t="s">
        <v>1378</v>
      </c>
      <c r="K145" s="8">
        <f>400*5</f>
        <v>2000</v>
      </c>
      <c r="L145" s="29">
        <f t="shared" si="41"/>
        <v>21950</v>
      </c>
      <c r="M145" s="29">
        <f t="shared" si="33"/>
        <v>20150</v>
      </c>
      <c r="N145" s="29">
        <f t="shared" si="42"/>
        <v>1800</v>
      </c>
      <c r="O145" s="29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>
        <f t="shared" si="62"/>
        <v>3230</v>
      </c>
      <c r="AV145" s="31">
        <f t="shared" si="62"/>
        <v>3230</v>
      </c>
      <c r="AW145" s="31">
        <f t="shared" si="62"/>
        <v>3230</v>
      </c>
      <c r="AX145" s="31">
        <f t="shared" si="62"/>
        <v>3230</v>
      </c>
      <c r="AY145" s="31">
        <f t="shared" si="62"/>
        <v>3230</v>
      </c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9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>
        <v>400</v>
      </c>
      <c r="CT145" s="31">
        <v>400</v>
      </c>
      <c r="CU145" s="31">
        <v>400</v>
      </c>
      <c r="CV145" s="31">
        <v>400</v>
      </c>
      <c r="CW145" s="31">
        <v>400</v>
      </c>
      <c r="CX145" s="180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182"/>
      <c r="DM145" s="182"/>
      <c r="DN145" s="182"/>
      <c r="DO145" s="182"/>
      <c r="DP145" s="182"/>
      <c r="DQ145" s="182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>
        <v>400</v>
      </c>
      <c r="EF145" s="31">
        <v>400</v>
      </c>
      <c r="EG145" s="31">
        <v>400</v>
      </c>
      <c r="EH145" s="31">
        <v>400</v>
      </c>
      <c r="EI145" s="31">
        <v>400</v>
      </c>
      <c r="EJ145" s="28"/>
    </row>
    <row r="146" spans="1:140" s="32" customFormat="1" ht="22.5" customHeight="1">
      <c r="A146" s="59">
        <v>144</v>
      </c>
      <c r="B146" s="59" t="s">
        <v>1069</v>
      </c>
      <c r="C146" s="51" t="s">
        <v>1441</v>
      </c>
      <c r="D146" s="50">
        <f t="shared" si="58"/>
        <v>1800</v>
      </c>
      <c r="E146" s="80" t="s">
        <v>1442</v>
      </c>
      <c r="F146" s="52" t="s">
        <v>1378</v>
      </c>
      <c r="G146" s="141">
        <f>3800*5*0.85</f>
        <v>16150</v>
      </c>
      <c r="H146" s="52" t="s">
        <v>1378</v>
      </c>
      <c r="I146" s="89">
        <f>400*5</f>
        <v>2000</v>
      </c>
      <c r="J146" s="52"/>
      <c r="K146" s="8"/>
      <c r="L146" s="29">
        <f t="shared" si="41"/>
        <v>19950</v>
      </c>
      <c r="M146" s="29">
        <f t="shared" si="33"/>
        <v>18150</v>
      </c>
      <c r="N146" s="29">
        <f t="shared" si="42"/>
        <v>1800</v>
      </c>
      <c r="O146" s="29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>
        <f t="shared" si="62"/>
        <v>3230</v>
      </c>
      <c r="AV146" s="31">
        <f t="shared" si="62"/>
        <v>3230</v>
      </c>
      <c r="AW146" s="31">
        <f t="shared" si="62"/>
        <v>3230</v>
      </c>
      <c r="AX146" s="31">
        <f t="shared" si="62"/>
        <v>3230</v>
      </c>
      <c r="AY146" s="31">
        <f t="shared" si="62"/>
        <v>3230</v>
      </c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9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>
        <v>400</v>
      </c>
      <c r="CT146" s="31">
        <v>400</v>
      </c>
      <c r="CU146" s="31">
        <v>400</v>
      </c>
      <c r="CV146" s="31">
        <v>400</v>
      </c>
      <c r="CW146" s="31">
        <v>400</v>
      </c>
      <c r="CX146" s="180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182"/>
      <c r="DM146" s="182"/>
      <c r="DN146" s="182"/>
      <c r="DO146" s="182"/>
      <c r="DP146" s="182"/>
      <c r="DQ146" s="182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28"/>
    </row>
    <row r="147" spans="1:140" s="32" customFormat="1" ht="22.5" customHeight="1">
      <c r="A147" s="59">
        <v>145</v>
      </c>
      <c r="B147" s="59" t="s">
        <v>1069</v>
      </c>
      <c r="C147" s="51" t="s">
        <v>1443</v>
      </c>
      <c r="D147" s="50">
        <f t="shared" si="58"/>
        <v>1800</v>
      </c>
      <c r="E147" s="80" t="s">
        <v>1444</v>
      </c>
      <c r="F147" s="52" t="s">
        <v>1378</v>
      </c>
      <c r="G147" s="141">
        <f>3800*5*0.85</f>
        <v>16150</v>
      </c>
      <c r="H147" s="52" t="s">
        <v>1378</v>
      </c>
      <c r="I147" s="89">
        <f>400*5</f>
        <v>2000</v>
      </c>
      <c r="J147" s="52"/>
      <c r="K147" s="8"/>
      <c r="L147" s="29">
        <f t="shared" si="41"/>
        <v>19950</v>
      </c>
      <c r="M147" s="29">
        <f t="shared" si="33"/>
        <v>18150</v>
      </c>
      <c r="N147" s="29">
        <f t="shared" si="42"/>
        <v>1800</v>
      </c>
      <c r="O147" s="29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>
        <f>3800*0.85</f>
        <v>3230</v>
      </c>
      <c r="AV147" s="31">
        <f>3800*0.85</f>
        <v>3230</v>
      </c>
      <c r="AW147" s="31">
        <f>3800*0.85</f>
        <v>3230</v>
      </c>
      <c r="AX147" s="31">
        <f>3800*0.85</f>
        <v>3230</v>
      </c>
      <c r="AY147" s="31">
        <f>3800*0.85</f>
        <v>3230</v>
      </c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9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>
        <v>400</v>
      </c>
      <c r="CT147" s="31">
        <v>400</v>
      </c>
      <c r="CU147" s="31">
        <v>400</v>
      </c>
      <c r="CV147" s="31">
        <v>400</v>
      </c>
      <c r="CW147" s="31">
        <v>400</v>
      </c>
      <c r="CX147" s="180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182"/>
      <c r="DM147" s="182"/>
      <c r="DN147" s="182"/>
      <c r="DO147" s="182"/>
      <c r="DP147" s="182"/>
      <c r="DQ147" s="182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28"/>
    </row>
    <row r="148" spans="1:140" s="32" customFormat="1" ht="22.5" customHeight="1">
      <c r="A148" s="59">
        <v>146</v>
      </c>
      <c r="B148" s="59" t="s">
        <v>1069</v>
      </c>
      <c r="C148" s="51" t="s">
        <v>1445</v>
      </c>
      <c r="D148" s="50">
        <f t="shared" si="58"/>
        <v>1800</v>
      </c>
      <c r="E148" s="80" t="s">
        <v>1446</v>
      </c>
      <c r="F148" s="52" t="s">
        <v>1447</v>
      </c>
      <c r="G148" s="141">
        <f>3800*6*0.85-3230-3230+3230/2</f>
        <v>14535</v>
      </c>
      <c r="H148" s="52" t="s">
        <v>1447</v>
      </c>
      <c r="I148" s="89">
        <f>400*5-400+20*8</f>
        <v>1760</v>
      </c>
      <c r="J148" s="52"/>
      <c r="K148" s="30"/>
      <c r="L148" s="29">
        <f>D148+G148+I148+K148</f>
        <v>18095</v>
      </c>
      <c r="M148" s="29">
        <f t="shared" si="33"/>
        <v>16295</v>
      </c>
      <c r="N148" s="29">
        <f>L148-M148</f>
        <v>1800</v>
      </c>
      <c r="O148" s="29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>
        <f>3800*0.85-3230</f>
        <v>0</v>
      </c>
      <c r="AU148" s="31">
        <f>3230/2</f>
        <v>1615</v>
      </c>
      <c r="AV148" s="31">
        <f>3800*0.85</f>
        <v>3230</v>
      </c>
      <c r="AW148" s="31">
        <f>3800*0.85</f>
        <v>3230</v>
      </c>
      <c r="AX148" s="31">
        <f>3800*0.85</f>
        <v>3230</v>
      </c>
      <c r="AY148" s="31">
        <f>3800*0.85</f>
        <v>3230</v>
      </c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9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>
        <f>20*8</f>
        <v>160</v>
      </c>
      <c r="CT148" s="31">
        <v>400</v>
      </c>
      <c r="CU148" s="31">
        <v>400</v>
      </c>
      <c r="CV148" s="31">
        <v>400</v>
      </c>
      <c r="CW148" s="31">
        <v>400</v>
      </c>
      <c r="CX148" s="180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182"/>
      <c r="DM148" s="182"/>
      <c r="DN148" s="182"/>
      <c r="DO148" s="182"/>
      <c r="DP148" s="182"/>
      <c r="DQ148" s="182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28"/>
    </row>
    <row r="149" spans="1:140" s="32" customFormat="1" ht="22.5" customHeight="1">
      <c r="A149" s="59">
        <v>147</v>
      </c>
      <c r="B149" s="59" t="s">
        <v>1069</v>
      </c>
      <c r="C149" s="51" t="s">
        <v>1448</v>
      </c>
      <c r="D149" s="50">
        <f t="shared" si="58"/>
        <v>1800</v>
      </c>
      <c r="E149" s="80"/>
      <c r="F149" s="52"/>
      <c r="G149" s="141"/>
      <c r="H149" s="52" t="s">
        <v>1378</v>
      </c>
      <c r="I149" s="89">
        <f>400*5</f>
        <v>2000</v>
      </c>
      <c r="J149" s="52"/>
      <c r="K149" s="30"/>
      <c r="L149" s="29">
        <f>D149+G149+I149+K149</f>
        <v>3800</v>
      </c>
      <c r="M149" s="29">
        <f t="shared" si="33"/>
        <v>2000</v>
      </c>
      <c r="N149" s="29">
        <f>L149-M149</f>
        <v>1800</v>
      </c>
      <c r="O149" s="29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9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>
        <v>400</v>
      </c>
      <c r="CT149" s="31">
        <v>400</v>
      </c>
      <c r="CU149" s="31">
        <v>400</v>
      </c>
      <c r="CV149" s="31">
        <v>400</v>
      </c>
      <c r="CW149" s="31">
        <v>400</v>
      </c>
      <c r="CX149" s="180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182"/>
      <c r="DM149" s="182"/>
      <c r="DN149" s="182"/>
      <c r="DO149" s="182"/>
      <c r="DP149" s="182"/>
      <c r="DQ149" s="182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28"/>
    </row>
    <row r="150" spans="1:140" s="32" customFormat="1" ht="22.5" customHeight="1">
      <c r="A150" s="59">
        <v>148</v>
      </c>
      <c r="B150" s="59" t="s">
        <v>1069</v>
      </c>
      <c r="C150" s="51" t="s">
        <v>1449</v>
      </c>
      <c r="D150" s="50">
        <f t="shared" si="58"/>
        <v>1800</v>
      </c>
      <c r="E150" s="80" t="s">
        <v>1450</v>
      </c>
      <c r="F150" s="52" t="s">
        <v>1421</v>
      </c>
      <c r="G150" s="141">
        <f>3800*4*0.85</f>
        <v>12920</v>
      </c>
      <c r="H150" s="52" t="s">
        <v>1421</v>
      </c>
      <c r="I150" s="89">
        <f t="shared" ref="I150:I158" si="63">400*4</f>
        <v>1600</v>
      </c>
      <c r="J150" s="52"/>
      <c r="K150" s="30"/>
      <c r="L150" s="29">
        <f>D150+G150+I150+K150</f>
        <v>16320</v>
      </c>
      <c r="M150" s="29">
        <f>SUM(O150:EI150)</f>
        <v>14520</v>
      </c>
      <c r="N150" s="29">
        <f>L150-M150</f>
        <v>1800</v>
      </c>
      <c r="O150" s="29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>
        <f t="shared" ref="AV150:AY154" si="64">3800*0.85</f>
        <v>3230</v>
      </c>
      <c r="AW150" s="31">
        <f t="shared" si="64"/>
        <v>3230</v>
      </c>
      <c r="AX150" s="31">
        <f t="shared" si="64"/>
        <v>3230</v>
      </c>
      <c r="AY150" s="31">
        <f t="shared" si="64"/>
        <v>3230</v>
      </c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9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>
        <v>400</v>
      </c>
      <c r="CU150" s="31">
        <v>400</v>
      </c>
      <c r="CV150" s="31">
        <v>400</v>
      </c>
      <c r="CW150" s="31">
        <v>400</v>
      </c>
      <c r="CX150" s="180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182"/>
      <c r="DM150" s="182"/>
      <c r="DN150" s="182"/>
      <c r="DO150" s="182"/>
      <c r="DP150" s="182"/>
      <c r="DQ150" s="182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28"/>
    </row>
    <row r="151" spans="1:140" s="32" customFormat="1" ht="22.5" customHeight="1">
      <c r="A151" s="59">
        <v>149</v>
      </c>
      <c r="B151" s="59" t="s">
        <v>1069</v>
      </c>
      <c r="C151" s="51" t="s">
        <v>1451</v>
      </c>
      <c r="D151" s="50">
        <f t="shared" si="58"/>
        <v>1800</v>
      </c>
      <c r="E151" s="80" t="s">
        <v>1450</v>
      </c>
      <c r="F151" s="52" t="s">
        <v>1421</v>
      </c>
      <c r="G151" s="141">
        <f>3800*4*0.85</f>
        <v>12920</v>
      </c>
      <c r="H151" s="52" t="s">
        <v>1421</v>
      </c>
      <c r="I151" s="89">
        <f t="shared" si="63"/>
        <v>1600</v>
      </c>
      <c r="J151" s="52"/>
      <c r="K151" s="30"/>
      <c r="L151" s="29">
        <f>D151+G151+I151+K151</f>
        <v>16320</v>
      </c>
      <c r="M151" s="29">
        <f>SUM(O151:EI151)</f>
        <v>14520</v>
      </c>
      <c r="N151" s="29">
        <f>L151-M151</f>
        <v>1800</v>
      </c>
      <c r="O151" s="29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>
        <f t="shared" si="64"/>
        <v>3230</v>
      </c>
      <c r="AW151" s="31">
        <f t="shared" si="64"/>
        <v>3230</v>
      </c>
      <c r="AX151" s="31">
        <f t="shared" si="64"/>
        <v>3230</v>
      </c>
      <c r="AY151" s="31">
        <f t="shared" si="64"/>
        <v>3230</v>
      </c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9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>
        <v>400</v>
      </c>
      <c r="CU151" s="31">
        <v>400</v>
      </c>
      <c r="CV151" s="31">
        <v>400</v>
      </c>
      <c r="CW151" s="31">
        <v>400</v>
      </c>
      <c r="CX151" s="180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182"/>
      <c r="DM151" s="182"/>
      <c r="DN151" s="182"/>
      <c r="DO151" s="182"/>
      <c r="DP151" s="182"/>
      <c r="DQ151" s="182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28"/>
    </row>
    <row r="152" spans="1:140" s="32" customFormat="1" ht="22.5" customHeight="1">
      <c r="A152" s="59">
        <v>150</v>
      </c>
      <c r="B152" s="59" t="s">
        <v>1069</v>
      </c>
      <c r="C152" s="51" t="s">
        <v>1452</v>
      </c>
      <c r="D152" s="50">
        <f t="shared" si="58"/>
        <v>1800</v>
      </c>
      <c r="E152" s="80" t="s">
        <v>1453</v>
      </c>
      <c r="F152" s="52" t="s">
        <v>1421</v>
      </c>
      <c r="G152" s="141">
        <f>3800*0.85*4-1000</f>
        <v>11920</v>
      </c>
      <c r="H152" s="52" t="s">
        <v>1421</v>
      </c>
      <c r="I152" s="89">
        <f t="shared" si="63"/>
        <v>1600</v>
      </c>
      <c r="J152" s="52"/>
      <c r="K152" s="8"/>
      <c r="L152" s="29">
        <f>D152+G152+I152+K152</f>
        <v>15320</v>
      </c>
      <c r="M152" s="29">
        <f>SUM(O152:EI152)</f>
        <v>13520</v>
      </c>
      <c r="N152" s="29">
        <f>L152-M152</f>
        <v>1800</v>
      </c>
      <c r="O152" s="29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>
        <f>3800*0.85-1000</f>
        <v>2230</v>
      </c>
      <c r="AW152" s="31">
        <f>3800*0.85</f>
        <v>3230</v>
      </c>
      <c r="AX152" s="31">
        <f t="shared" si="64"/>
        <v>3230</v>
      </c>
      <c r="AY152" s="31">
        <f t="shared" si="64"/>
        <v>3230</v>
      </c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9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>
        <v>400</v>
      </c>
      <c r="CU152" s="31">
        <v>400</v>
      </c>
      <c r="CV152" s="31">
        <v>400</v>
      </c>
      <c r="CW152" s="31">
        <v>400</v>
      </c>
      <c r="CX152" s="180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182"/>
      <c r="DM152" s="182"/>
      <c r="DN152" s="182"/>
      <c r="DO152" s="182"/>
      <c r="DP152" s="182"/>
      <c r="DQ152" s="182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28"/>
    </row>
    <row r="153" spans="1:140" s="32" customFormat="1" ht="22.5" customHeight="1">
      <c r="A153" s="59">
        <v>151</v>
      </c>
      <c r="B153" s="59" t="s">
        <v>1069</v>
      </c>
      <c r="C153" s="51" t="s">
        <v>1454</v>
      </c>
      <c r="D153" s="50">
        <f t="shared" si="58"/>
        <v>1800</v>
      </c>
      <c r="E153" s="80" t="s">
        <v>1453</v>
      </c>
      <c r="F153" s="52" t="s">
        <v>1421</v>
      </c>
      <c r="G153" s="141">
        <f>3800*4*0.85-1000</f>
        <v>11920</v>
      </c>
      <c r="H153" s="52" t="s">
        <v>1421</v>
      </c>
      <c r="I153" s="89">
        <f t="shared" si="63"/>
        <v>1600</v>
      </c>
      <c r="J153" s="52"/>
      <c r="K153" s="8"/>
      <c r="L153" s="29">
        <f t="shared" ref="L153:L154" si="65">D153+G153+I153+K153</f>
        <v>15320</v>
      </c>
      <c r="M153" s="29">
        <f t="shared" ref="M153:M154" si="66">SUM(O153:EI153)</f>
        <v>13520</v>
      </c>
      <c r="N153" s="29">
        <f t="shared" ref="N153:N154" si="67">L153-M153</f>
        <v>1800</v>
      </c>
      <c r="O153" s="29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>
        <f>3800*0.85-1000</f>
        <v>2230</v>
      </c>
      <c r="AW153" s="31">
        <f>3800*0.85</f>
        <v>3230</v>
      </c>
      <c r="AX153" s="31">
        <f t="shared" si="64"/>
        <v>3230</v>
      </c>
      <c r="AY153" s="31">
        <f t="shared" si="64"/>
        <v>3230</v>
      </c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9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>
        <v>400</v>
      </c>
      <c r="CU153" s="31">
        <v>400</v>
      </c>
      <c r="CV153" s="31">
        <v>400</v>
      </c>
      <c r="CW153" s="31">
        <v>400</v>
      </c>
      <c r="CX153" s="180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182"/>
      <c r="DM153" s="182"/>
      <c r="DN153" s="182"/>
      <c r="DO153" s="182"/>
      <c r="DP153" s="182"/>
      <c r="DQ153" s="182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28"/>
    </row>
    <row r="154" spans="1:140" s="32" customFormat="1" ht="22.5" customHeight="1">
      <c r="A154" s="59">
        <v>152</v>
      </c>
      <c r="B154" s="59" t="s">
        <v>1069</v>
      </c>
      <c r="C154" s="51" t="s">
        <v>1455</v>
      </c>
      <c r="D154" s="50">
        <f t="shared" si="58"/>
        <v>1800</v>
      </c>
      <c r="E154" s="80" t="s">
        <v>1456</v>
      </c>
      <c r="F154" s="52" t="s">
        <v>1421</v>
      </c>
      <c r="G154" s="141">
        <f>3800*4*0.85</f>
        <v>12920</v>
      </c>
      <c r="H154" s="52" t="s">
        <v>1421</v>
      </c>
      <c r="I154" s="89">
        <f t="shared" si="63"/>
        <v>1600</v>
      </c>
      <c r="J154" s="52"/>
      <c r="K154" s="30"/>
      <c r="L154" s="29">
        <f t="shared" si="65"/>
        <v>16320</v>
      </c>
      <c r="M154" s="29">
        <f t="shared" si="66"/>
        <v>14520</v>
      </c>
      <c r="N154" s="29">
        <f t="shared" si="67"/>
        <v>1800</v>
      </c>
      <c r="O154" s="29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>
        <f>3800*0.85</f>
        <v>3230</v>
      </c>
      <c r="AW154" s="31">
        <f t="shared" si="64"/>
        <v>3230</v>
      </c>
      <c r="AX154" s="31">
        <f t="shared" si="64"/>
        <v>3230</v>
      </c>
      <c r="AY154" s="31">
        <f t="shared" si="64"/>
        <v>3230</v>
      </c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9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>
        <v>400</v>
      </c>
      <c r="CU154" s="31">
        <v>400</v>
      </c>
      <c r="CV154" s="31">
        <v>400</v>
      </c>
      <c r="CW154" s="31">
        <v>400</v>
      </c>
      <c r="CX154" s="180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182"/>
      <c r="DM154" s="182"/>
      <c r="DN154" s="182"/>
      <c r="DO154" s="182"/>
      <c r="DP154" s="182"/>
      <c r="DQ154" s="182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28"/>
    </row>
    <row r="155" spans="1:140" s="32" customFormat="1" ht="22.5" customHeight="1">
      <c r="A155" s="59">
        <v>153</v>
      </c>
      <c r="B155" s="59" t="s">
        <v>1069</v>
      </c>
      <c r="C155" s="51" t="s">
        <v>1457</v>
      </c>
      <c r="D155" s="50">
        <f t="shared" si="58"/>
        <v>1800</v>
      </c>
      <c r="E155" s="80" t="s">
        <v>1458</v>
      </c>
      <c r="F155" s="52" t="s">
        <v>1421</v>
      </c>
      <c r="G155" s="141">
        <f>3000+5000*4-3000</f>
        <v>20000</v>
      </c>
      <c r="H155" s="52" t="s">
        <v>1421</v>
      </c>
      <c r="I155" s="89">
        <f t="shared" si="63"/>
        <v>1600</v>
      </c>
      <c r="J155" s="52"/>
      <c r="K155" s="30"/>
      <c r="L155" s="29">
        <f>D155+G155+I155+K155</f>
        <v>23400</v>
      </c>
      <c r="M155" s="29">
        <f>SUM(O155:EI155)</f>
        <v>21600</v>
      </c>
      <c r="N155" s="29">
        <f>L155-M155</f>
        <v>1800</v>
      </c>
      <c r="O155" s="29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>
        <v>5000</v>
      </c>
      <c r="AW155" s="31">
        <v>5000</v>
      </c>
      <c r="AX155" s="31">
        <v>5000</v>
      </c>
      <c r="AY155" s="31">
        <v>5000</v>
      </c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9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>
        <v>400</v>
      </c>
      <c r="CU155" s="31">
        <v>400</v>
      </c>
      <c r="CV155" s="31">
        <v>400</v>
      </c>
      <c r="CW155" s="31">
        <v>400</v>
      </c>
      <c r="CX155" s="180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182"/>
      <c r="DM155" s="182"/>
      <c r="DN155" s="182"/>
      <c r="DO155" s="182"/>
      <c r="DP155" s="182"/>
      <c r="DQ155" s="182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28"/>
    </row>
    <row r="156" spans="1:140" s="32" customFormat="1" ht="22.5" customHeight="1">
      <c r="A156" s="59">
        <v>154</v>
      </c>
      <c r="B156" s="59" t="s">
        <v>1069</v>
      </c>
      <c r="C156" s="51" t="s">
        <v>1459</v>
      </c>
      <c r="D156" s="50">
        <f t="shared" si="58"/>
        <v>1800</v>
      </c>
      <c r="E156" s="80" t="s">
        <v>1425</v>
      </c>
      <c r="F156" s="52" t="s">
        <v>1421</v>
      </c>
      <c r="G156" s="141">
        <f>3800*6*0.85-3230-3230</f>
        <v>12920</v>
      </c>
      <c r="H156" s="52" t="s">
        <v>1421</v>
      </c>
      <c r="I156" s="89">
        <f t="shared" si="63"/>
        <v>1600</v>
      </c>
      <c r="J156" s="52"/>
      <c r="K156" s="30"/>
      <c r="L156" s="29">
        <f>D156+G156+I156+K156</f>
        <v>16320</v>
      </c>
      <c r="M156" s="29">
        <f>SUM(O156:EI156)</f>
        <v>14520</v>
      </c>
      <c r="N156" s="29">
        <f>L156-M156</f>
        <v>1800</v>
      </c>
      <c r="O156" s="29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>
        <f>3800*0.85</f>
        <v>3230</v>
      </c>
      <c r="AW156" s="31">
        <f t="shared" ref="AW156:AY156" si="68">3800*0.85</f>
        <v>3230</v>
      </c>
      <c r="AX156" s="31">
        <f t="shared" si="68"/>
        <v>3230</v>
      </c>
      <c r="AY156" s="31">
        <f t="shared" si="68"/>
        <v>3230</v>
      </c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9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>
        <v>400</v>
      </c>
      <c r="CU156" s="31">
        <v>400</v>
      </c>
      <c r="CV156" s="31">
        <v>400</v>
      </c>
      <c r="CW156" s="31">
        <v>400</v>
      </c>
      <c r="CX156" s="180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182"/>
      <c r="DM156" s="182"/>
      <c r="DN156" s="182"/>
      <c r="DO156" s="182"/>
      <c r="DP156" s="182"/>
      <c r="DQ156" s="182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28"/>
    </row>
    <row r="157" spans="1:140" s="32" customFormat="1" ht="22.5" customHeight="1">
      <c r="A157" s="59">
        <v>155</v>
      </c>
      <c r="B157" s="59" t="s">
        <v>1069</v>
      </c>
      <c r="C157" s="51" t="s">
        <v>1460</v>
      </c>
      <c r="D157" s="50">
        <f t="shared" si="58"/>
        <v>1800</v>
      </c>
      <c r="E157" s="80" t="s">
        <v>1407</v>
      </c>
      <c r="F157" s="52" t="s">
        <v>1421</v>
      </c>
      <c r="G157" s="141">
        <f>3800*6*0.85-3230-3230</f>
        <v>12920</v>
      </c>
      <c r="H157" s="52" t="s">
        <v>1421</v>
      </c>
      <c r="I157" s="89">
        <f t="shared" si="63"/>
        <v>1600</v>
      </c>
      <c r="J157" s="52" t="s">
        <v>1421</v>
      </c>
      <c r="K157" s="30">
        <f>400*4</f>
        <v>1600</v>
      </c>
      <c r="L157" s="29">
        <f>D157+G157+I157+K157</f>
        <v>17920</v>
      </c>
      <c r="M157" s="29">
        <f>SUM(O157:DS157)</f>
        <v>14520</v>
      </c>
      <c r="N157" s="29">
        <f>L157-M157</f>
        <v>3400</v>
      </c>
      <c r="O157" s="29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>
        <f>3800*0.85-3230</f>
        <v>0</v>
      </c>
      <c r="AU157" s="31">
        <f>3800*0.85-3230</f>
        <v>0</v>
      </c>
      <c r="AV157" s="31">
        <f t="shared" ref="AV157:AY157" si="69">3800*0.85</f>
        <v>3230</v>
      </c>
      <c r="AW157" s="31">
        <f t="shared" si="69"/>
        <v>3230</v>
      </c>
      <c r="AX157" s="31">
        <f t="shared" si="69"/>
        <v>3230</v>
      </c>
      <c r="AY157" s="31">
        <f t="shared" si="69"/>
        <v>3230</v>
      </c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9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>
        <v>400</v>
      </c>
      <c r="CU157" s="31">
        <v>400</v>
      </c>
      <c r="CV157" s="31">
        <v>400</v>
      </c>
      <c r="CW157" s="31">
        <v>400</v>
      </c>
      <c r="CX157" s="180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182"/>
      <c r="DM157" s="182"/>
      <c r="DN157" s="182"/>
      <c r="DO157" s="182"/>
      <c r="DP157" s="182"/>
      <c r="DQ157" s="182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>
        <v>400</v>
      </c>
      <c r="EG157" s="31">
        <v>400</v>
      </c>
      <c r="EH157" s="31">
        <v>400</v>
      </c>
      <c r="EI157" s="31">
        <v>400</v>
      </c>
      <c r="EJ157" s="28"/>
    </row>
    <row r="158" spans="1:140" s="32" customFormat="1" ht="22.5" customHeight="1">
      <c r="A158" s="59">
        <v>156</v>
      </c>
      <c r="B158" s="59" t="s">
        <v>1069</v>
      </c>
      <c r="C158" s="51" t="s">
        <v>1461</v>
      </c>
      <c r="D158" s="50">
        <f t="shared" si="58"/>
        <v>1800</v>
      </c>
      <c r="E158" s="80" t="s">
        <v>1462</v>
      </c>
      <c r="F158" s="52"/>
      <c r="G158" s="141"/>
      <c r="H158" s="52" t="s">
        <v>1421</v>
      </c>
      <c r="I158" s="89">
        <f t="shared" si="63"/>
        <v>1600</v>
      </c>
      <c r="J158" s="52"/>
      <c r="K158" s="8"/>
      <c r="L158" s="29">
        <f t="shared" ref="L158:L160" si="70">D158+G158+I158+K158</f>
        <v>3400</v>
      </c>
      <c r="M158" s="29">
        <f t="shared" ref="M158:M160" si="71">SUM(O158:EI158)</f>
        <v>1600</v>
      </c>
      <c r="N158" s="29">
        <f t="shared" ref="N158:N160" si="72">L158-M158</f>
        <v>1800</v>
      </c>
      <c r="O158" s="29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9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>
        <v>400</v>
      </c>
      <c r="CU158" s="31">
        <v>400</v>
      </c>
      <c r="CV158" s="31">
        <v>400</v>
      </c>
      <c r="CW158" s="31">
        <v>400</v>
      </c>
      <c r="CX158" s="180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182"/>
      <c r="DM158" s="182"/>
      <c r="DN158" s="182"/>
      <c r="DO158" s="182"/>
      <c r="DP158" s="182"/>
      <c r="DQ158" s="182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28"/>
    </row>
    <row r="159" spans="1:140" s="32" customFormat="1" ht="22.5" customHeight="1">
      <c r="A159" s="59">
        <v>157</v>
      </c>
      <c r="B159" s="59" t="s">
        <v>1069</v>
      </c>
      <c r="C159" s="51" t="s">
        <v>1463</v>
      </c>
      <c r="D159" s="50">
        <f t="shared" si="58"/>
        <v>1800</v>
      </c>
      <c r="E159" s="80" t="s">
        <v>1464</v>
      </c>
      <c r="F159" s="52" t="s">
        <v>1421</v>
      </c>
      <c r="G159" s="141">
        <f>3800*4*0.85-1000</f>
        <v>11920</v>
      </c>
      <c r="H159" s="52" t="s">
        <v>1421</v>
      </c>
      <c r="I159" s="89">
        <f>400*4</f>
        <v>1600</v>
      </c>
      <c r="J159" s="52"/>
      <c r="K159" s="8"/>
      <c r="L159" s="29">
        <f t="shared" si="70"/>
        <v>15320</v>
      </c>
      <c r="M159" s="29">
        <f t="shared" si="71"/>
        <v>13520</v>
      </c>
      <c r="N159" s="29">
        <f t="shared" si="72"/>
        <v>1800</v>
      </c>
      <c r="O159" s="29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>
        <f>3800*0.85-1000</f>
        <v>2230</v>
      </c>
      <c r="AW159" s="31">
        <f>3800*0.85</f>
        <v>3230</v>
      </c>
      <c r="AX159" s="31">
        <f t="shared" ref="AX159:AY162" si="73">3800*0.85</f>
        <v>3230</v>
      </c>
      <c r="AY159" s="31">
        <f t="shared" si="73"/>
        <v>3230</v>
      </c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9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>
        <v>400</v>
      </c>
      <c r="CU159" s="31">
        <v>400</v>
      </c>
      <c r="CV159" s="31">
        <v>400</v>
      </c>
      <c r="CW159" s="31">
        <v>400</v>
      </c>
      <c r="CX159" s="180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182"/>
      <c r="DM159" s="182"/>
      <c r="DN159" s="182"/>
      <c r="DO159" s="182"/>
      <c r="DP159" s="182"/>
      <c r="DQ159" s="182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28"/>
    </row>
    <row r="160" spans="1:140" s="32" customFormat="1" ht="22.5" customHeight="1">
      <c r="A160" s="59">
        <v>158</v>
      </c>
      <c r="B160" s="59" t="s">
        <v>1069</v>
      </c>
      <c r="C160" s="51" t="s">
        <v>1465</v>
      </c>
      <c r="D160" s="50">
        <f t="shared" si="58"/>
        <v>1800</v>
      </c>
      <c r="E160" s="80" t="s">
        <v>1466</v>
      </c>
      <c r="F160" s="52" t="s">
        <v>1421</v>
      </c>
      <c r="G160" s="141">
        <f>3800*4*0.85-1000</f>
        <v>11920</v>
      </c>
      <c r="H160" s="52" t="s">
        <v>1421</v>
      </c>
      <c r="I160" s="89">
        <f>400*4</f>
        <v>1600</v>
      </c>
      <c r="J160" s="52"/>
      <c r="K160" s="8"/>
      <c r="L160" s="29">
        <f t="shared" si="70"/>
        <v>15320</v>
      </c>
      <c r="M160" s="29">
        <f t="shared" si="71"/>
        <v>13520</v>
      </c>
      <c r="N160" s="29">
        <f t="shared" si="72"/>
        <v>1800</v>
      </c>
      <c r="O160" s="29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>
        <f>3800*0.85-1000</f>
        <v>2230</v>
      </c>
      <c r="AW160" s="31">
        <f>3800*0.85</f>
        <v>3230</v>
      </c>
      <c r="AX160" s="31">
        <f t="shared" si="73"/>
        <v>3230</v>
      </c>
      <c r="AY160" s="31">
        <f t="shared" si="73"/>
        <v>3230</v>
      </c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9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>
        <v>400</v>
      </c>
      <c r="CU160" s="31">
        <v>400</v>
      </c>
      <c r="CV160" s="31">
        <v>400</v>
      </c>
      <c r="CW160" s="31">
        <v>400</v>
      </c>
      <c r="CX160" s="180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182"/>
      <c r="DM160" s="182"/>
      <c r="DN160" s="182"/>
      <c r="DO160" s="182"/>
      <c r="DP160" s="182"/>
      <c r="DQ160" s="182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28"/>
    </row>
    <row r="161" spans="1:140" s="32" customFormat="1" ht="22.5" customHeight="1">
      <c r="A161" s="59">
        <v>159</v>
      </c>
      <c r="B161" s="59" t="s">
        <v>1069</v>
      </c>
      <c r="C161" s="51" t="s">
        <v>1467</v>
      </c>
      <c r="D161" s="50">
        <f t="shared" si="58"/>
        <v>1800</v>
      </c>
      <c r="E161" s="80" t="s">
        <v>1468</v>
      </c>
      <c r="F161" s="52" t="s">
        <v>1379</v>
      </c>
      <c r="G161" s="141">
        <f>3800*3*0.85</f>
        <v>9690</v>
      </c>
      <c r="H161" s="52" t="s">
        <v>1379</v>
      </c>
      <c r="I161" s="89">
        <f>400*3</f>
        <v>1200</v>
      </c>
      <c r="J161" s="52" t="s">
        <v>1379</v>
      </c>
      <c r="K161" s="8">
        <f>400*3</f>
        <v>1200</v>
      </c>
      <c r="L161" s="29">
        <f>D161+G161+I161+K161</f>
        <v>13890</v>
      </c>
      <c r="M161" s="29">
        <f>SUM(O161:EI161)</f>
        <v>12090</v>
      </c>
      <c r="N161" s="29">
        <f>L161-M161</f>
        <v>1800</v>
      </c>
      <c r="O161" s="29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>
        <f>3800*0.85</f>
        <v>3230</v>
      </c>
      <c r="AX161" s="31">
        <f t="shared" si="73"/>
        <v>3230</v>
      </c>
      <c r="AY161" s="31">
        <f t="shared" si="73"/>
        <v>3230</v>
      </c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9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>
        <v>400</v>
      </c>
      <c r="CV161" s="31">
        <v>400</v>
      </c>
      <c r="CW161" s="31">
        <v>400</v>
      </c>
      <c r="CX161" s="180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182"/>
      <c r="DM161" s="182"/>
      <c r="DN161" s="182"/>
      <c r="DO161" s="182"/>
      <c r="DP161" s="182"/>
      <c r="DQ161" s="182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>
        <v>400</v>
      </c>
      <c r="EH161" s="31">
        <v>400</v>
      </c>
      <c r="EI161" s="31">
        <v>400</v>
      </c>
      <c r="EJ161" s="28"/>
    </row>
    <row r="162" spans="1:140" s="32" customFormat="1" ht="22.5" customHeight="1">
      <c r="A162" s="59">
        <v>160</v>
      </c>
      <c r="B162" s="59" t="s">
        <v>1069</v>
      </c>
      <c r="C162" s="51" t="s">
        <v>1469</v>
      </c>
      <c r="D162" s="50">
        <f t="shared" si="58"/>
        <v>1800</v>
      </c>
      <c r="E162" s="80" t="s">
        <v>1470</v>
      </c>
      <c r="F162" s="52" t="s">
        <v>1379</v>
      </c>
      <c r="G162" s="141">
        <f>3800*3*0.85</f>
        <v>9690</v>
      </c>
      <c r="H162" s="52" t="s">
        <v>1379</v>
      </c>
      <c r="I162" s="89">
        <f>400*3</f>
        <v>1200</v>
      </c>
      <c r="J162" s="52"/>
      <c r="K162" s="30"/>
      <c r="L162" s="29">
        <f>D162+G162+I162+K162</f>
        <v>12690</v>
      </c>
      <c r="M162" s="29">
        <f>SUM(O162:EI162)</f>
        <v>10890</v>
      </c>
      <c r="N162" s="29">
        <f>L162-M162</f>
        <v>1800</v>
      </c>
      <c r="O162" s="29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>
        <f>3800*0.85</f>
        <v>3230</v>
      </c>
      <c r="AX162" s="31">
        <f t="shared" si="73"/>
        <v>3230</v>
      </c>
      <c r="AY162" s="31">
        <f t="shared" si="73"/>
        <v>3230</v>
      </c>
      <c r="AZ162" s="31">
        <f>3800*0.85-3800*0.85</f>
        <v>0</v>
      </c>
      <c r="BA162" s="31">
        <f t="shared" ref="BA162:BE162" si="74">3800*0.85-3800*0.85</f>
        <v>0</v>
      </c>
      <c r="BB162" s="31">
        <f t="shared" si="74"/>
        <v>0</v>
      </c>
      <c r="BC162" s="31">
        <f t="shared" si="74"/>
        <v>0</v>
      </c>
      <c r="BD162" s="31">
        <f t="shared" si="74"/>
        <v>0</v>
      </c>
      <c r="BE162" s="31">
        <f t="shared" si="74"/>
        <v>0</v>
      </c>
      <c r="BF162" s="31"/>
      <c r="BG162" s="31"/>
      <c r="BH162" s="31"/>
      <c r="BI162" s="31"/>
      <c r="BJ162" s="31"/>
      <c r="BK162" s="31"/>
      <c r="BL162" s="39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>
        <v>400</v>
      </c>
      <c r="CV162" s="31">
        <v>400</v>
      </c>
      <c r="CW162" s="31">
        <v>400</v>
      </c>
      <c r="CX162" s="180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182"/>
      <c r="DM162" s="182"/>
      <c r="DN162" s="182"/>
      <c r="DO162" s="182"/>
      <c r="DP162" s="182"/>
      <c r="DQ162" s="182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28"/>
    </row>
    <row r="163" spans="1:140" s="32" customFormat="1" ht="22.5" customHeight="1">
      <c r="A163" s="59">
        <v>161</v>
      </c>
      <c r="B163" s="59" t="s">
        <v>1069</v>
      </c>
      <c r="C163" s="51" t="s">
        <v>1471</v>
      </c>
      <c r="D163" s="50">
        <f t="shared" si="58"/>
        <v>1800</v>
      </c>
      <c r="E163" s="80" t="s">
        <v>1472</v>
      </c>
      <c r="F163" s="52" t="s">
        <v>1379</v>
      </c>
      <c r="G163" s="141">
        <f>5000*6*0.9-4500*2-4500</f>
        <v>13500</v>
      </c>
      <c r="H163" s="52" t="s">
        <v>1379</v>
      </c>
      <c r="I163" s="89">
        <f>400*3</f>
        <v>1200</v>
      </c>
      <c r="J163" s="52"/>
      <c r="K163" s="30"/>
      <c r="L163" s="29">
        <f>D163+G163+I163+K163</f>
        <v>16500</v>
      </c>
      <c r="M163" s="29">
        <f>SUM(O163:DS163)</f>
        <v>14700</v>
      </c>
      <c r="N163" s="29">
        <f>L163-M163</f>
        <v>1800</v>
      </c>
      <c r="O163" s="29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>
        <f>5000*0.9-4500</f>
        <v>0</v>
      </c>
      <c r="AU163" s="31">
        <f>5000*0.9-4500</f>
        <v>0</v>
      </c>
      <c r="AV163" s="31">
        <f>5000*0.9-4500</f>
        <v>0</v>
      </c>
      <c r="AW163" s="31">
        <f>5000*0.9</f>
        <v>4500</v>
      </c>
      <c r="AX163" s="31">
        <f>5000*0.9</f>
        <v>4500</v>
      </c>
      <c r="AY163" s="31">
        <f>5000*0.9</f>
        <v>4500</v>
      </c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9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>
        <v>400</v>
      </c>
      <c r="CV163" s="31">
        <v>400</v>
      </c>
      <c r="CW163" s="31">
        <v>400</v>
      </c>
      <c r="CX163" s="180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182"/>
      <c r="DM163" s="182"/>
      <c r="DN163" s="182"/>
      <c r="DO163" s="182"/>
      <c r="DP163" s="182"/>
      <c r="DQ163" s="182"/>
      <c r="DR163" s="31"/>
      <c r="DS163" s="31"/>
      <c r="DT163" s="31"/>
      <c r="DU163" s="31"/>
      <c r="DV163" s="31"/>
      <c r="DW163" s="31"/>
      <c r="DX163" s="31"/>
      <c r="DY163" s="31"/>
      <c r="DZ163" s="31"/>
      <c r="EA163" s="31"/>
      <c r="EB163" s="31"/>
      <c r="EC163" s="31"/>
      <c r="ED163" s="31"/>
      <c r="EE163" s="31"/>
      <c r="EF163" s="31"/>
      <c r="EG163" s="31"/>
      <c r="EH163" s="31"/>
      <c r="EI163" s="31"/>
      <c r="EJ163" s="28"/>
    </row>
    <row r="164" spans="1:140" s="32" customFormat="1" ht="22.5" customHeight="1">
      <c r="A164" s="61"/>
      <c r="B164" s="61"/>
      <c r="C164" s="63"/>
      <c r="D164" s="88"/>
      <c r="E164" s="82"/>
      <c r="F164" s="61"/>
      <c r="G164" s="143"/>
      <c r="H164" s="61"/>
      <c r="I164" s="99"/>
      <c r="J164" s="61"/>
      <c r="K164" s="64"/>
      <c r="L164" s="65"/>
      <c r="M164" s="65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99"/>
      <c r="BJ164" s="99"/>
      <c r="BK164" s="99"/>
      <c r="BL164" s="99"/>
      <c r="BM164" s="99"/>
      <c r="BN164" s="99"/>
      <c r="BO164" s="99"/>
      <c r="BP164" s="99"/>
      <c r="BQ164" s="99"/>
      <c r="BR164" s="99"/>
      <c r="BS164" s="99"/>
      <c r="BT164" s="99"/>
      <c r="BU164" s="99"/>
      <c r="BV164" s="99"/>
      <c r="BW164" s="99"/>
      <c r="BX164" s="99"/>
      <c r="BY164" s="99"/>
      <c r="BZ164" s="99"/>
      <c r="CA164" s="99"/>
      <c r="CB164" s="99"/>
      <c r="CC164" s="99"/>
      <c r="CD164" s="99"/>
      <c r="CE164" s="99"/>
      <c r="CF164" s="99"/>
      <c r="CG164" s="99"/>
      <c r="CH164" s="99"/>
      <c r="CI164" s="99"/>
      <c r="CJ164" s="99"/>
      <c r="CK164" s="99"/>
      <c r="CL164" s="99"/>
      <c r="CM164" s="99"/>
      <c r="CN164" s="99"/>
      <c r="CO164" s="99"/>
      <c r="CP164" s="99"/>
      <c r="CQ164" s="99"/>
      <c r="CR164" s="99"/>
      <c r="CS164" s="99"/>
      <c r="CT164" s="99"/>
      <c r="CU164" s="99"/>
      <c r="CV164" s="99"/>
      <c r="CW164" s="99"/>
      <c r="CX164" s="99"/>
      <c r="CY164" s="99"/>
      <c r="CZ164" s="99"/>
      <c r="DA164" s="99"/>
      <c r="DB164" s="99"/>
      <c r="DC164" s="99"/>
      <c r="DD164" s="99"/>
      <c r="DE164" s="99"/>
      <c r="DF164" s="99"/>
      <c r="DG164" s="99"/>
      <c r="DH164" s="99"/>
      <c r="DI164" s="99"/>
      <c r="DJ164" s="99"/>
      <c r="DK164" s="99"/>
      <c r="DL164" s="99"/>
      <c r="DM164" s="99"/>
      <c r="DN164" s="99"/>
      <c r="DO164" s="99"/>
      <c r="DP164" s="99"/>
      <c r="DQ164" s="99"/>
      <c r="DR164" s="99"/>
      <c r="DS164" s="99"/>
      <c r="DT164" s="99"/>
      <c r="DU164" s="99"/>
      <c r="DV164" s="99"/>
      <c r="DW164" s="99"/>
      <c r="DX164" s="99"/>
      <c r="DY164" s="99"/>
      <c r="DZ164" s="99"/>
      <c r="EA164" s="99"/>
      <c r="EB164" s="99"/>
      <c r="EC164" s="99"/>
      <c r="ED164" s="99"/>
      <c r="EE164" s="99"/>
      <c r="EF164" s="99"/>
      <c r="EG164" s="99"/>
      <c r="EH164" s="99"/>
      <c r="EI164" s="99"/>
      <c r="EJ164" s="28"/>
    </row>
    <row r="165" spans="1:140" ht="18" customHeight="1">
      <c r="A165" s="59">
        <v>1</v>
      </c>
      <c r="B165" s="59" t="s">
        <v>1473</v>
      </c>
      <c r="C165" s="51" t="s">
        <v>521</v>
      </c>
      <c r="D165" s="50">
        <v>1500</v>
      </c>
      <c r="E165" s="79">
        <v>40696</v>
      </c>
      <c r="F165" s="83" t="s">
        <v>1474</v>
      </c>
      <c r="G165" s="142"/>
      <c r="H165" s="52"/>
      <c r="I165" s="96"/>
      <c r="J165" s="52"/>
      <c r="K165" s="11"/>
      <c r="L165" s="8">
        <f t="shared" ref="L165:L179" si="75">D165+G165+I165+K165</f>
        <v>1500</v>
      </c>
      <c r="M165" s="29">
        <f>SUM(O165:DS165)</f>
        <v>0</v>
      </c>
      <c r="N165" s="29">
        <f>L165-M165</f>
        <v>1500</v>
      </c>
      <c r="O165" s="8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31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39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31"/>
      <c r="CB165" s="31"/>
      <c r="CC165" s="31"/>
      <c r="CD165" s="12"/>
      <c r="CE165" s="12"/>
      <c r="CF165" s="12"/>
      <c r="CG165" s="12"/>
      <c r="CH165" s="12"/>
      <c r="CI165" s="12"/>
      <c r="CJ165" s="12"/>
      <c r="CK165" s="31"/>
      <c r="CL165" s="31"/>
      <c r="CM165" s="31"/>
      <c r="CN165" s="31"/>
      <c r="CO165" s="12"/>
      <c r="CP165" s="12"/>
      <c r="CQ165" s="12"/>
      <c r="CR165" s="12"/>
      <c r="CS165" s="12"/>
      <c r="CT165" s="12"/>
      <c r="CU165" s="12"/>
      <c r="CV165" s="12"/>
      <c r="CW165" s="12"/>
      <c r="CX165" s="180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81"/>
      <c r="DM165" s="181"/>
      <c r="DN165" s="181"/>
      <c r="DO165" s="181"/>
      <c r="DP165" s="181"/>
      <c r="DQ165" s="181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31"/>
      <c r="EE165" s="12"/>
      <c r="EF165" s="12"/>
      <c r="EG165" s="12"/>
      <c r="EH165" s="12"/>
      <c r="EI165" s="12"/>
      <c r="EJ165" s="23"/>
    </row>
    <row r="166" spans="1:140" ht="18" customHeight="1">
      <c r="A166" s="59">
        <v>2</v>
      </c>
      <c r="B166" s="59" t="s">
        <v>1473</v>
      </c>
      <c r="C166" s="51" t="s">
        <v>522</v>
      </c>
      <c r="D166" s="50">
        <v>1500</v>
      </c>
      <c r="E166" s="79">
        <v>40701</v>
      </c>
      <c r="F166" s="83" t="s">
        <v>1474</v>
      </c>
      <c r="G166" s="142"/>
      <c r="H166" s="52"/>
      <c r="I166" s="96"/>
      <c r="J166" s="52"/>
      <c r="K166" s="11"/>
      <c r="L166" s="8">
        <f t="shared" si="75"/>
        <v>1500</v>
      </c>
      <c r="M166" s="29">
        <f>SUM(O166:DS166)</f>
        <v>0</v>
      </c>
      <c r="N166" s="29">
        <f>L166-M166</f>
        <v>1500</v>
      </c>
      <c r="O166" s="8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31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39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31"/>
      <c r="CB166" s="31"/>
      <c r="CC166" s="31"/>
      <c r="CD166" s="12"/>
      <c r="CE166" s="12"/>
      <c r="CF166" s="12"/>
      <c r="CG166" s="12"/>
      <c r="CH166" s="12"/>
      <c r="CI166" s="12"/>
      <c r="CJ166" s="12"/>
      <c r="CK166" s="31"/>
      <c r="CL166" s="31"/>
      <c r="CM166" s="31"/>
      <c r="CN166" s="31"/>
      <c r="CO166" s="12"/>
      <c r="CP166" s="12"/>
      <c r="CQ166" s="12"/>
      <c r="CR166" s="12"/>
      <c r="CS166" s="12"/>
      <c r="CT166" s="12"/>
      <c r="CU166" s="12"/>
      <c r="CV166" s="12"/>
      <c r="CW166" s="12"/>
      <c r="CX166" s="180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81"/>
      <c r="DM166" s="181"/>
      <c r="DN166" s="181"/>
      <c r="DO166" s="181"/>
      <c r="DP166" s="181"/>
      <c r="DQ166" s="181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31"/>
      <c r="EE166" s="12"/>
      <c r="EF166" s="12"/>
      <c r="EG166" s="12"/>
      <c r="EH166" s="12"/>
      <c r="EI166" s="12"/>
      <c r="EJ166" s="23"/>
    </row>
    <row r="167" spans="1:140" ht="18" customHeight="1">
      <c r="A167" s="59">
        <v>3</v>
      </c>
      <c r="B167" s="59" t="s">
        <v>1473</v>
      </c>
      <c r="C167" s="51" t="s">
        <v>537</v>
      </c>
      <c r="D167" s="50">
        <v>1500</v>
      </c>
      <c r="E167" s="79">
        <v>40716</v>
      </c>
      <c r="F167" s="83" t="s">
        <v>1474</v>
      </c>
      <c r="G167" s="142"/>
      <c r="H167" s="52"/>
      <c r="I167" s="96"/>
      <c r="J167" s="52"/>
      <c r="K167" s="11"/>
      <c r="L167" s="8">
        <f t="shared" si="75"/>
        <v>1500</v>
      </c>
      <c r="M167" s="29">
        <f>SUM(O167:DS167)</f>
        <v>0</v>
      </c>
      <c r="N167" s="29">
        <f>L167-M167</f>
        <v>1500</v>
      </c>
      <c r="O167" s="8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31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39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31"/>
      <c r="CB167" s="31"/>
      <c r="CC167" s="31"/>
      <c r="CD167" s="12"/>
      <c r="CE167" s="12"/>
      <c r="CF167" s="12"/>
      <c r="CG167" s="12"/>
      <c r="CH167" s="12"/>
      <c r="CI167" s="12"/>
      <c r="CJ167" s="12"/>
      <c r="CK167" s="31"/>
      <c r="CL167" s="31"/>
      <c r="CM167" s="31"/>
      <c r="CN167" s="31"/>
      <c r="CO167" s="12"/>
      <c r="CP167" s="12"/>
      <c r="CQ167" s="12"/>
      <c r="CR167" s="12"/>
      <c r="CS167" s="12"/>
      <c r="CT167" s="12"/>
      <c r="CU167" s="12"/>
      <c r="CV167" s="12"/>
      <c r="CW167" s="12"/>
      <c r="CX167" s="180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81"/>
      <c r="DM167" s="181"/>
      <c r="DN167" s="181"/>
      <c r="DO167" s="181"/>
      <c r="DP167" s="181"/>
      <c r="DQ167" s="181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31"/>
      <c r="EE167" s="12"/>
      <c r="EF167" s="12"/>
      <c r="EG167" s="12"/>
      <c r="EH167" s="12"/>
      <c r="EI167" s="12"/>
      <c r="EJ167" s="23"/>
    </row>
    <row r="168" spans="1:140" ht="18" customHeight="1">
      <c r="A168" s="59">
        <v>4</v>
      </c>
      <c r="B168" s="59" t="s">
        <v>1473</v>
      </c>
      <c r="C168" s="51" t="s">
        <v>538</v>
      </c>
      <c r="D168" s="50">
        <v>1500</v>
      </c>
      <c r="E168" s="79">
        <v>40720</v>
      </c>
      <c r="F168" s="83" t="s">
        <v>1474</v>
      </c>
      <c r="G168" s="142"/>
      <c r="H168" s="52"/>
      <c r="I168" s="96"/>
      <c r="J168" s="52"/>
      <c r="K168" s="11"/>
      <c r="L168" s="8">
        <f t="shared" si="75"/>
        <v>1500</v>
      </c>
      <c r="M168" s="29">
        <f>SUM(O168:DS168)</f>
        <v>0</v>
      </c>
      <c r="N168" s="29">
        <f>L168-M168</f>
        <v>1500</v>
      </c>
      <c r="O168" s="8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31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39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31"/>
      <c r="CB168" s="31"/>
      <c r="CC168" s="31"/>
      <c r="CD168" s="12"/>
      <c r="CE168" s="12"/>
      <c r="CF168" s="12"/>
      <c r="CG168" s="12"/>
      <c r="CH168" s="12"/>
      <c r="CI168" s="12"/>
      <c r="CJ168" s="12"/>
      <c r="CK168" s="31"/>
      <c r="CL168" s="31"/>
      <c r="CM168" s="31"/>
      <c r="CN168" s="31"/>
      <c r="CO168" s="12"/>
      <c r="CP168" s="12"/>
      <c r="CQ168" s="12"/>
      <c r="CR168" s="12"/>
      <c r="CS168" s="12"/>
      <c r="CT168" s="12"/>
      <c r="CU168" s="12"/>
      <c r="CV168" s="12"/>
      <c r="CW168" s="12"/>
      <c r="CX168" s="180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81"/>
      <c r="DM168" s="181"/>
      <c r="DN168" s="181"/>
      <c r="DO168" s="181"/>
      <c r="DP168" s="181"/>
      <c r="DQ168" s="181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31"/>
      <c r="EE168" s="12"/>
      <c r="EF168" s="12"/>
      <c r="EG168" s="12"/>
      <c r="EH168" s="12"/>
      <c r="EI168" s="12"/>
      <c r="EJ168" s="23"/>
    </row>
    <row r="169" spans="1:140" ht="22.5" customHeight="1">
      <c r="A169" s="59">
        <v>5</v>
      </c>
      <c r="B169" s="52" t="s">
        <v>1473</v>
      </c>
      <c r="C169" s="51" t="s">
        <v>1475</v>
      </c>
      <c r="D169" s="50">
        <v>1000</v>
      </c>
      <c r="E169" s="79" t="s">
        <v>1476</v>
      </c>
      <c r="F169" s="59"/>
      <c r="G169" s="142"/>
      <c r="H169" s="52"/>
      <c r="I169" s="52"/>
      <c r="J169" s="52"/>
      <c r="K169" s="11"/>
      <c r="L169" s="8">
        <f t="shared" si="75"/>
        <v>1000</v>
      </c>
      <c r="M169" s="29">
        <f>SUM(O169:DX169)</f>
        <v>0</v>
      </c>
      <c r="N169" s="29">
        <f>L169-M169</f>
        <v>1000</v>
      </c>
      <c r="O169" s="8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31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39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31"/>
      <c r="CB169" s="31"/>
      <c r="CC169" s="31"/>
      <c r="CD169" s="12"/>
      <c r="CE169" s="12"/>
      <c r="CF169" s="12"/>
      <c r="CG169" s="12"/>
      <c r="CH169" s="12"/>
      <c r="CI169" s="12"/>
      <c r="CJ169" s="12"/>
      <c r="CK169" s="31"/>
      <c r="CL169" s="31"/>
      <c r="CM169" s="31"/>
      <c r="CN169" s="31"/>
      <c r="CO169" s="12"/>
      <c r="CP169" s="12"/>
      <c r="CQ169" s="12"/>
      <c r="CR169" s="12"/>
      <c r="CS169" s="12"/>
      <c r="CT169" s="12"/>
      <c r="CU169" s="12"/>
      <c r="CV169" s="12"/>
      <c r="CW169" s="12"/>
      <c r="CX169" s="180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81"/>
      <c r="DM169" s="181"/>
      <c r="DN169" s="181"/>
      <c r="DO169" s="181"/>
      <c r="DP169" s="181"/>
      <c r="DQ169" s="181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31"/>
      <c r="EE169" s="12"/>
      <c r="EF169" s="12"/>
      <c r="EG169" s="12"/>
      <c r="EH169" s="12"/>
      <c r="EI169" s="12"/>
      <c r="EJ169" s="23"/>
    </row>
    <row r="170" spans="1:140" s="32" customFormat="1" ht="22.5" customHeight="1">
      <c r="A170" s="59">
        <v>6</v>
      </c>
      <c r="B170" s="52" t="s">
        <v>1473</v>
      </c>
      <c r="C170" s="51" t="s">
        <v>1477</v>
      </c>
      <c r="D170" s="50">
        <v>1000</v>
      </c>
      <c r="E170" s="80" t="s">
        <v>1478</v>
      </c>
      <c r="F170" s="52"/>
      <c r="G170" s="141"/>
      <c r="H170" s="52"/>
      <c r="I170" s="98"/>
      <c r="J170" s="52"/>
      <c r="K170" s="30"/>
      <c r="L170" s="29">
        <f t="shared" si="75"/>
        <v>1000</v>
      </c>
      <c r="M170" s="29">
        <f t="shared" ref="M170:M175" si="76">SUM(O170:DS170)</f>
        <v>0</v>
      </c>
      <c r="N170" s="29">
        <f t="shared" ref="N170:N183" si="77">L170-M170</f>
        <v>1000</v>
      </c>
      <c r="O170" s="29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9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180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182"/>
      <c r="DM170" s="182"/>
      <c r="DN170" s="182"/>
      <c r="DO170" s="182"/>
      <c r="DP170" s="182"/>
      <c r="DQ170" s="182"/>
      <c r="DR170" s="31"/>
      <c r="DS170" s="31"/>
      <c r="DT170" s="31"/>
      <c r="DU170" s="31"/>
      <c r="DV170" s="31"/>
      <c r="DW170" s="31"/>
      <c r="DX170" s="31"/>
      <c r="DY170" s="31"/>
      <c r="DZ170" s="31"/>
      <c r="EA170" s="31"/>
      <c r="EB170" s="31"/>
      <c r="EC170" s="31"/>
      <c r="ED170" s="31"/>
      <c r="EE170" s="31"/>
      <c r="EF170" s="31"/>
      <c r="EG170" s="31"/>
      <c r="EH170" s="31"/>
      <c r="EI170" s="31"/>
      <c r="EJ170" s="28"/>
    </row>
    <row r="171" spans="1:140" s="32" customFormat="1" ht="22.5" customHeight="1">
      <c r="A171" s="59">
        <v>7</v>
      </c>
      <c r="B171" s="52" t="s">
        <v>1473</v>
      </c>
      <c r="C171" s="51" t="s">
        <v>1479</v>
      </c>
      <c r="D171" s="50"/>
      <c r="E171" s="80" t="s">
        <v>1480</v>
      </c>
      <c r="F171" s="52" t="s">
        <v>1481</v>
      </c>
      <c r="G171" s="141">
        <f>3800*6*0.85</f>
        <v>19380</v>
      </c>
      <c r="H171" s="52"/>
      <c r="I171" s="98"/>
      <c r="J171" s="52"/>
      <c r="K171" s="30"/>
      <c r="L171" s="29">
        <f t="shared" si="75"/>
        <v>19380</v>
      </c>
      <c r="M171" s="29">
        <f t="shared" si="76"/>
        <v>19380</v>
      </c>
      <c r="N171" s="29">
        <f t="shared" si="77"/>
        <v>0</v>
      </c>
      <c r="O171" s="29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>
        <f t="shared" ref="AZ171:BE171" si="78">3800*0.85</f>
        <v>3230</v>
      </c>
      <c r="BA171" s="31">
        <f t="shared" si="78"/>
        <v>3230</v>
      </c>
      <c r="BB171" s="31">
        <f t="shared" si="78"/>
        <v>3230</v>
      </c>
      <c r="BC171" s="31">
        <f t="shared" si="78"/>
        <v>3230</v>
      </c>
      <c r="BD171" s="31">
        <f t="shared" si="78"/>
        <v>3230</v>
      </c>
      <c r="BE171" s="31">
        <f t="shared" si="78"/>
        <v>3230</v>
      </c>
      <c r="BF171" s="31"/>
      <c r="BG171" s="31"/>
      <c r="BH171" s="31"/>
      <c r="BI171" s="31"/>
      <c r="BJ171" s="31"/>
      <c r="BK171" s="31"/>
      <c r="BL171" s="39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180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182"/>
      <c r="DM171" s="182"/>
      <c r="DN171" s="182"/>
      <c r="DO171" s="182"/>
      <c r="DP171" s="182"/>
      <c r="DQ171" s="182"/>
      <c r="DR171" s="31"/>
      <c r="DS171" s="31"/>
      <c r="DT171" s="31"/>
      <c r="DU171" s="31"/>
      <c r="DV171" s="31"/>
      <c r="DW171" s="31"/>
      <c r="DX171" s="31"/>
      <c r="DY171" s="31"/>
      <c r="DZ171" s="31"/>
      <c r="EA171" s="31"/>
      <c r="EB171" s="31"/>
      <c r="EC171" s="31"/>
      <c r="ED171" s="31"/>
      <c r="EE171" s="31"/>
      <c r="EF171" s="31"/>
      <c r="EG171" s="31"/>
      <c r="EH171" s="31"/>
      <c r="EI171" s="31"/>
      <c r="EJ171" s="28"/>
    </row>
    <row r="172" spans="1:140" s="32" customFormat="1" ht="22.5" customHeight="1">
      <c r="A172" s="59">
        <v>8</v>
      </c>
      <c r="B172" s="52" t="s">
        <v>1473</v>
      </c>
      <c r="C172" s="51" t="s">
        <v>1482</v>
      </c>
      <c r="D172" s="50"/>
      <c r="E172" s="80" t="s">
        <v>1483</v>
      </c>
      <c r="F172" s="52" t="s">
        <v>1481</v>
      </c>
      <c r="G172" s="141">
        <f>5000*6*0.9</f>
        <v>27000</v>
      </c>
      <c r="H172" s="52"/>
      <c r="I172" s="98"/>
      <c r="J172" s="52"/>
      <c r="K172" s="30"/>
      <c r="L172" s="29">
        <f t="shared" si="75"/>
        <v>27000</v>
      </c>
      <c r="M172" s="29">
        <f t="shared" si="76"/>
        <v>27000</v>
      </c>
      <c r="N172" s="29">
        <f t="shared" si="77"/>
        <v>0</v>
      </c>
      <c r="O172" s="29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>
        <f t="shared" ref="AZ172:BE172" si="79">5000*0.9</f>
        <v>4500</v>
      </c>
      <c r="BA172" s="31">
        <f t="shared" si="79"/>
        <v>4500</v>
      </c>
      <c r="BB172" s="31">
        <f t="shared" si="79"/>
        <v>4500</v>
      </c>
      <c r="BC172" s="31">
        <f t="shared" si="79"/>
        <v>4500</v>
      </c>
      <c r="BD172" s="31">
        <f t="shared" si="79"/>
        <v>4500</v>
      </c>
      <c r="BE172" s="31">
        <f t="shared" si="79"/>
        <v>4500</v>
      </c>
      <c r="BF172" s="31"/>
      <c r="BG172" s="31"/>
      <c r="BH172" s="31"/>
      <c r="BI172" s="31"/>
      <c r="BJ172" s="31"/>
      <c r="BK172" s="31"/>
      <c r="BL172" s="39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180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182"/>
      <c r="DM172" s="182"/>
      <c r="DN172" s="182"/>
      <c r="DO172" s="182"/>
      <c r="DP172" s="182"/>
      <c r="DQ172" s="182"/>
      <c r="DR172" s="31"/>
      <c r="DS172" s="31"/>
      <c r="DT172" s="31"/>
      <c r="DU172" s="31"/>
      <c r="DV172" s="31"/>
      <c r="DW172" s="31"/>
      <c r="DX172" s="31"/>
      <c r="DY172" s="31"/>
      <c r="DZ172" s="31"/>
      <c r="EA172" s="31"/>
      <c r="EB172" s="31"/>
      <c r="EC172" s="31"/>
      <c r="ED172" s="31"/>
      <c r="EE172" s="31"/>
      <c r="EF172" s="31"/>
      <c r="EG172" s="31"/>
      <c r="EH172" s="31"/>
      <c r="EI172" s="31"/>
      <c r="EJ172" s="28"/>
    </row>
    <row r="173" spans="1:140" s="32" customFormat="1" ht="22.5" customHeight="1">
      <c r="A173" s="59">
        <v>9</v>
      </c>
      <c r="B173" s="52" t="s">
        <v>1473</v>
      </c>
      <c r="C173" s="51" t="s">
        <v>1484</v>
      </c>
      <c r="D173" s="50"/>
      <c r="E173" s="80" t="s">
        <v>1472</v>
      </c>
      <c r="F173" s="52" t="s">
        <v>1481</v>
      </c>
      <c r="G173" s="141">
        <f>3800*6*0.85-800</f>
        <v>18580</v>
      </c>
      <c r="H173" s="52"/>
      <c r="I173" s="98"/>
      <c r="J173" s="52"/>
      <c r="K173" s="30"/>
      <c r="L173" s="29">
        <f t="shared" si="75"/>
        <v>18580</v>
      </c>
      <c r="M173" s="29">
        <f t="shared" si="76"/>
        <v>18580</v>
      </c>
      <c r="N173" s="29">
        <f t="shared" si="77"/>
        <v>0</v>
      </c>
      <c r="O173" s="29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>
        <f>3800*0.85-800</f>
        <v>2430</v>
      </c>
      <c r="BA173" s="31">
        <f t="shared" ref="BA173:BE174" si="80">3800*0.85</f>
        <v>3230</v>
      </c>
      <c r="BB173" s="31">
        <f t="shared" si="80"/>
        <v>3230</v>
      </c>
      <c r="BC173" s="31">
        <f t="shared" si="80"/>
        <v>3230</v>
      </c>
      <c r="BD173" s="31">
        <f t="shared" si="80"/>
        <v>3230</v>
      </c>
      <c r="BE173" s="31">
        <f t="shared" si="80"/>
        <v>3230</v>
      </c>
      <c r="BF173" s="31"/>
      <c r="BG173" s="31"/>
      <c r="BH173" s="31"/>
      <c r="BI173" s="31"/>
      <c r="BJ173" s="31"/>
      <c r="BK173" s="31"/>
      <c r="BL173" s="39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180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182"/>
      <c r="DM173" s="182"/>
      <c r="DN173" s="182"/>
      <c r="DO173" s="182"/>
      <c r="DP173" s="182"/>
      <c r="DQ173" s="182"/>
      <c r="DR173" s="31"/>
      <c r="DS173" s="31"/>
      <c r="DT173" s="31"/>
      <c r="DU173" s="31"/>
      <c r="DV173" s="31"/>
      <c r="DW173" s="31"/>
      <c r="DX173" s="31"/>
      <c r="DY173" s="31"/>
      <c r="DZ173" s="31"/>
      <c r="EA173" s="31"/>
      <c r="EB173" s="31"/>
      <c r="EC173" s="31"/>
      <c r="ED173" s="31"/>
      <c r="EE173" s="31"/>
      <c r="EF173" s="31"/>
      <c r="EG173" s="31"/>
      <c r="EH173" s="31"/>
      <c r="EI173" s="31"/>
      <c r="EJ173" s="28"/>
    </row>
    <row r="174" spans="1:140" s="32" customFormat="1" ht="22.5" customHeight="1">
      <c r="A174" s="59">
        <v>10</v>
      </c>
      <c r="B174" s="52" t="s">
        <v>1473</v>
      </c>
      <c r="C174" s="51" t="s">
        <v>1485</v>
      </c>
      <c r="D174" s="50"/>
      <c r="E174" s="80" t="s">
        <v>1472</v>
      </c>
      <c r="F174" s="52" t="s">
        <v>1481</v>
      </c>
      <c r="G174" s="141">
        <f>3800*6*0.85-800</f>
        <v>18580</v>
      </c>
      <c r="H174" s="52"/>
      <c r="I174" s="98"/>
      <c r="J174" s="52"/>
      <c r="K174" s="30"/>
      <c r="L174" s="29">
        <f t="shared" si="75"/>
        <v>18580</v>
      </c>
      <c r="M174" s="29">
        <f t="shared" si="76"/>
        <v>18580</v>
      </c>
      <c r="N174" s="29">
        <f t="shared" si="77"/>
        <v>0</v>
      </c>
      <c r="O174" s="29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>
        <f>3800*0.85-800</f>
        <v>2430</v>
      </c>
      <c r="BA174" s="31">
        <f t="shared" si="80"/>
        <v>3230</v>
      </c>
      <c r="BB174" s="31">
        <f t="shared" si="80"/>
        <v>3230</v>
      </c>
      <c r="BC174" s="31">
        <f t="shared" si="80"/>
        <v>3230</v>
      </c>
      <c r="BD174" s="31">
        <f t="shared" si="80"/>
        <v>3230</v>
      </c>
      <c r="BE174" s="31">
        <f t="shared" si="80"/>
        <v>3230</v>
      </c>
      <c r="BF174" s="31"/>
      <c r="BG174" s="31"/>
      <c r="BH174" s="31"/>
      <c r="BI174" s="31"/>
      <c r="BJ174" s="31"/>
      <c r="BK174" s="31"/>
      <c r="BL174" s="39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180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182"/>
      <c r="DM174" s="182"/>
      <c r="DN174" s="182"/>
      <c r="DO174" s="182"/>
      <c r="DP174" s="182"/>
      <c r="DQ174" s="182"/>
      <c r="DR174" s="31"/>
      <c r="DS174" s="31"/>
      <c r="DT174" s="31"/>
      <c r="DU174" s="31"/>
      <c r="DV174" s="31"/>
      <c r="DW174" s="31"/>
      <c r="DX174" s="31"/>
      <c r="DY174" s="31"/>
      <c r="DZ174" s="31"/>
      <c r="EA174" s="31"/>
      <c r="EB174" s="31"/>
      <c r="EC174" s="31"/>
      <c r="ED174" s="31"/>
      <c r="EE174" s="31"/>
      <c r="EF174" s="31"/>
      <c r="EG174" s="31"/>
      <c r="EH174" s="31"/>
      <c r="EI174" s="31"/>
      <c r="EJ174" s="28"/>
    </row>
    <row r="175" spans="1:140" s="32" customFormat="1" ht="22.5" customHeight="1">
      <c r="A175" s="59">
        <v>11</v>
      </c>
      <c r="B175" s="52" t="s">
        <v>1473</v>
      </c>
      <c r="C175" s="51" t="s">
        <v>1486</v>
      </c>
      <c r="D175" s="50"/>
      <c r="E175" s="80" t="s">
        <v>1487</v>
      </c>
      <c r="F175" s="52" t="s">
        <v>1481</v>
      </c>
      <c r="G175" s="141">
        <f>5000*6*0.9</f>
        <v>27000</v>
      </c>
      <c r="H175" s="52"/>
      <c r="I175" s="98"/>
      <c r="J175" s="52"/>
      <c r="K175" s="30"/>
      <c r="L175" s="29">
        <f t="shared" si="75"/>
        <v>27000</v>
      </c>
      <c r="M175" s="29">
        <f t="shared" si="76"/>
        <v>27000</v>
      </c>
      <c r="N175" s="29">
        <f t="shared" si="77"/>
        <v>0</v>
      </c>
      <c r="O175" s="29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>
        <f t="shared" ref="AZ175:BE176" si="81">5000*0.9</f>
        <v>4500</v>
      </c>
      <c r="BA175" s="31">
        <f t="shared" si="81"/>
        <v>4500</v>
      </c>
      <c r="BB175" s="31">
        <f t="shared" si="81"/>
        <v>4500</v>
      </c>
      <c r="BC175" s="31">
        <f t="shared" si="81"/>
        <v>4500</v>
      </c>
      <c r="BD175" s="31">
        <f t="shared" si="81"/>
        <v>4500</v>
      </c>
      <c r="BE175" s="31">
        <f t="shared" si="81"/>
        <v>4500</v>
      </c>
      <c r="BF175" s="31"/>
      <c r="BG175" s="31"/>
      <c r="BH175" s="31"/>
      <c r="BI175" s="31"/>
      <c r="BJ175" s="31"/>
      <c r="BK175" s="31"/>
      <c r="BL175" s="39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180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182"/>
      <c r="DM175" s="182"/>
      <c r="DN175" s="182"/>
      <c r="DO175" s="182"/>
      <c r="DP175" s="182"/>
      <c r="DQ175" s="182"/>
      <c r="DR175" s="31"/>
      <c r="DS175" s="31"/>
      <c r="DT175" s="31"/>
      <c r="DU175" s="31"/>
      <c r="DV175" s="31"/>
      <c r="DW175" s="31"/>
      <c r="DX175" s="31"/>
      <c r="DY175" s="31"/>
      <c r="DZ175" s="31"/>
      <c r="EA175" s="31"/>
      <c r="EB175" s="31"/>
      <c r="EC175" s="31"/>
      <c r="ED175" s="31"/>
      <c r="EE175" s="31"/>
      <c r="EF175" s="31"/>
      <c r="EG175" s="31"/>
      <c r="EH175" s="31"/>
      <c r="EI175" s="31"/>
      <c r="EJ175" s="28"/>
    </row>
    <row r="176" spans="1:140" s="32" customFormat="1" ht="22.5" customHeight="1">
      <c r="A176" s="59">
        <v>12</v>
      </c>
      <c r="B176" s="52" t="s">
        <v>1473</v>
      </c>
      <c r="C176" s="51" t="s">
        <v>1488</v>
      </c>
      <c r="D176" s="50"/>
      <c r="E176" s="80" t="s">
        <v>1489</v>
      </c>
      <c r="F176" s="52" t="s">
        <v>1481</v>
      </c>
      <c r="G176" s="141">
        <f>5000*6*0.9</f>
        <v>27000</v>
      </c>
      <c r="H176" s="52"/>
      <c r="I176" s="98"/>
      <c r="J176" s="52"/>
      <c r="K176" s="30"/>
      <c r="L176" s="29">
        <f t="shared" si="75"/>
        <v>27000</v>
      </c>
      <c r="M176" s="29">
        <f t="shared" ref="M176:M183" si="82">SUM(O176:EI176)</f>
        <v>27000</v>
      </c>
      <c r="N176" s="29">
        <f t="shared" si="77"/>
        <v>0</v>
      </c>
      <c r="O176" s="29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>
        <f>5000*0.9-4500</f>
        <v>0</v>
      </c>
      <c r="AU176" s="31">
        <f>5000*0.9-4500</f>
        <v>0</v>
      </c>
      <c r="AV176" s="31">
        <f t="shared" ref="AV176:AY176" si="83">5000*0.9-4500</f>
        <v>0</v>
      </c>
      <c r="AW176" s="31">
        <f t="shared" si="83"/>
        <v>0</v>
      </c>
      <c r="AX176" s="31">
        <f t="shared" si="83"/>
        <v>0</v>
      </c>
      <c r="AY176" s="31">
        <f t="shared" si="83"/>
        <v>0</v>
      </c>
      <c r="AZ176" s="31">
        <f>5000*0.9</f>
        <v>4500</v>
      </c>
      <c r="BA176" s="31">
        <f t="shared" si="81"/>
        <v>4500</v>
      </c>
      <c r="BB176" s="31">
        <f t="shared" si="81"/>
        <v>4500</v>
      </c>
      <c r="BC176" s="31">
        <f t="shared" si="81"/>
        <v>4500</v>
      </c>
      <c r="BD176" s="31">
        <f t="shared" si="81"/>
        <v>4500</v>
      </c>
      <c r="BE176" s="31">
        <f t="shared" si="81"/>
        <v>4500</v>
      </c>
      <c r="BF176" s="31"/>
      <c r="BG176" s="31"/>
      <c r="BH176" s="31"/>
      <c r="BI176" s="31"/>
      <c r="BJ176" s="31"/>
      <c r="BK176" s="31"/>
      <c r="BL176" s="39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180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182"/>
      <c r="DM176" s="182"/>
      <c r="DN176" s="182"/>
      <c r="DO176" s="182"/>
      <c r="DP176" s="182"/>
      <c r="DQ176" s="182"/>
      <c r="DR176" s="31"/>
      <c r="DS176" s="31"/>
      <c r="DT176" s="31"/>
      <c r="DU176" s="31"/>
      <c r="DV176" s="31"/>
      <c r="DW176" s="31"/>
      <c r="DX176" s="31"/>
      <c r="DY176" s="31"/>
      <c r="DZ176" s="31"/>
      <c r="EA176" s="31"/>
      <c r="EB176" s="31"/>
      <c r="EC176" s="31"/>
      <c r="ED176" s="31"/>
      <c r="EE176" s="31"/>
      <c r="EF176" s="31"/>
      <c r="EG176" s="31"/>
      <c r="EH176" s="31"/>
      <c r="EI176" s="31"/>
      <c r="EJ176" s="28"/>
    </row>
    <row r="177" spans="1:140" s="32" customFormat="1" ht="22.5" customHeight="1">
      <c r="A177" s="59">
        <v>13</v>
      </c>
      <c r="B177" s="52" t="s">
        <v>1473</v>
      </c>
      <c r="C177" s="51" t="s">
        <v>1490</v>
      </c>
      <c r="D177" s="50"/>
      <c r="E177" s="80" t="s">
        <v>1489</v>
      </c>
      <c r="F177" s="52" t="s">
        <v>1491</v>
      </c>
      <c r="G177" s="141">
        <f>3800*6*0.85</f>
        <v>19380</v>
      </c>
      <c r="H177" s="52"/>
      <c r="I177" s="98"/>
      <c r="J177" s="52"/>
      <c r="K177" s="30"/>
      <c r="L177" s="29">
        <f t="shared" si="75"/>
        <v>19380</v>
      </c>
      <c r="M177" s="29">
        <f t="shared" si="82"/>
        <v>19380</v>
      </c>
      <c r="N177" s="29">
        <f t="shared" si="77"/>
        <v>0</v>
      </c>
      <c r="O177" s="29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>
        <f t="shared" ref="BF177:BK177" si="84">3800*0.85</f>
        <v>3230</v>
      </c>
      <c r="BG177" s="31">
        <f t="shared" si="84"/>
        <v>3230</v>
      </c>
      <c r="BH177" s="31">
        <f t="shared" si="84"/>
        <v>3230</v>
      </c>
      <c r="BI177" s="31">
        <f t="shared" si="84"/>
        <v>3230</v>
      </c>
      <c r="BJ177" s="31">
        <f t="shared" si="84"/>
        <v>3230</v>
      </c>
      <c r="BK177" s="31">
        <f t="shared" si="84"/>
        <v>3230</v>
      </c>
      <c r="BL177" s="39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180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182"/>
      <c r="DM177" s="182"/>
      <c r="DN177" s="182"/>
      <c r="DO177" s="182"/>
      <c r="DP177" s="182"/>
      <c r="DQ177" s="182"/>
      <c r="DR177" s="31"/>
      <c r="DS177" s="31"/>
      <c r="DT177" s="31"/>
      <c r="DU177" s="31"/>
      <c r="DV177" s="31"/>
      <c r="DW177" s="31"/>
      <c r="DX177" s="31"/>
      <c r="DY177" s="31"/>
      <c r="DZ177" s="31"/>
      <c r="EA177" s="31"/>
      <c r="EB177" s="31"/>
      <c r="EC177" s="31"/>
      <c r="ED177" s="31"/>
      <c r="EE177" s="31"/>
      <c r="EF177" s="31"/>
      <c r="EG177" s="31"/>
      <c r="EH177" s="31"/>
      <c r="EI177" s="31"/>
      <c r="EJ177" s="28"/>
    </row>
    <row r="178" spans="1:140" s="32" customFormat="1" ht="22.5" customHeight="1">
      <c r="A178" s="59">
        <v>14</v>
      </c>
      <c r="B178" s="52" t="s">
        <v>1473</v>
      </c>
      <c r="C178" s="51" t="s">
        <v>1492</v>
      </c>
      <c r="D178" s="50"/>
      <c r="E178" s="80" t="s">
        <v>1489</v>
      </c>
      <c r="F178" s="52" t="s">
        <v>1481</v>
      </c>
      <c r="G178" s="141">
        <f>3800*6*0.85-800</f>
        <v>18580</v>
      </c>
      <c r="H178" s="52"/>
      <c r="I178" s="98"/>
      <c r="J178" s="52"/>
      <c r="K178" s="30"/>
      <c r="L178" s="29">
        <f t="shared" si="75"/>
        <v>18580</v>
      </c>
      <c r="M178" s="29">
        <f t="shared" si="82"/>
        <v>18580</v>
      </c>
      <c r="N178" s="29">
        <f t="shared" si="77"/>
        <v>0</v>
      </c>
      <c r="O178" s="29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Z178" s="31">
        <f>3800*0.85-800</f>
        <v>2430</v>
      </c>
      <c r="BA178" s="31">
        <f>3800*0.85</f>
        <v>3230</v>
      </c>
      <c r="BB178" s="31">
        <f>3800*0.85</f>
        <v>3230</v>
      </c>
      <c r="BC178" s="31">
        <f>3800*0.85</f>
        <v>3230</v>
      </c>
      <c r="BD178" s="31">
        <f>3800*0.85</f>
        <v>3230</v>
      </c>
      <c r="BE178" s="31">
        <f>3800*0.85</f>
        <v>3230</v>
      </c>
      <c r="BF178" s="31"/>
      <c r="BG178" s="31"/>
      <c r="BH178" s="31"/>
      <c r="BI178" s="31"/>
      <c r="BJ178" s="31"/>
      <c r="BK178" s="31"/>
      <c r="BL178" s="39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180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182"/>
      <c r="DM178" s="182"/>
      <c r="DN178" s="182"/>
      <c r="DO178" s="182"/>
      <c r="DP178" s="182"/>
      <c r="DQ178" s="182"/>
      <c r="DR178" s="31"/>
      <c r="DS178" s="31"/>
      <c r="DT178" s="31"/>
      <c r="DU178" s="31"/>
      <c r="DV178" s="31"/>
      <c r="DW178" s="31"/>
      <c r="DX178" s="31"/>
      <c r="DY178" s="31"/>
      <c r="DZ178" s="31"/>
      <c r="EA178" s="31"/>
      <c r="EB178" s="31"/>
      <c r="EC178" s="31"/>
      <c r="ED178" s="31"/>
      <c r="EE178" s="31"/>
      <c r="EF178" s="31"/>
      <c r="EG178" s="31"/>
      <c r="EH178" s="31"/>
      <c r="EI178" s="31"/>
      <c r="EJ178" s="28"/>
    </row>
    <row r="179" spans="1:140" s="32" customFormat="1" ht="22.5" customHeight="1">
      <c r="A179" s="59">
        <v>15</v>
      </c>
      <c r="B179" s="52" t="s">
        <v>1473</v>
      </c>
      <c r="C179" s="51" t="s">
        <v>1493</v>
      </c>
      <c r="D179" s="50"/>
      <c r="E179" s="80" t="s">
        <v>1494</v>
      </c>
      <c r="F179" s="52" t="s">
        <v>1481</v>
      </c>
      <c r="G179" s="141">
        <f>3800*6*0.85</f>
        <v>19380</v>
      </c>
      <c r="H179" s="52"/>
      <c r="I179" s="98"/>
      <c r="J179" s="52"/>
      <c r="K179" s="30"/>
      <c r="L179" s="29">
        <f t="shared" si="75"/>
        <v>19380</v>
      </c>
      <c r="M179" s="29">
        <f t="shared" si="82"/>
        <v>19380</v>
      </c>
      <c r="N179" s="29">
        <f t="shared" si="77"/>
        <v>0</v>
      </c>
      <c r="O179" s="29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>
        <f t="shared" ref="AZ179:BE179" si="85">3800*0.85</f>
        <v>3230</v>
      </c>
      <c r="BA179" s="31">
        <f t="shared" si="85"/>
        <v>3230</v>
      </c>
      <c r="BB179" s="31">
        <f t="shared" si="85"/>
        <v>3230</v>
      </c>
      <c r="BC179" s="31">
        <f t="shared" si="85"/>
        <v>3230</v>
      </c>
      <c r="BD179" s="31">
        <f t="shared" si="85"/>
        <v>3230</v>
      </c>
      <c r="BE179" s="31">
        <f t="shared" si="85"/>
        <v>3230</v>
      </c>
      <c r="BF179" s="31"/>
      <c r="BG179" s="31"/>
      <c r="BH179" s="31"/>
      <c r="BI179" s="31"/>
      <c r="BJ179" s="31"/>
      <c r="BK179" s="31"/>
      <c r="BL179" s="39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180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182"/>
      <c r="DM179" s="182"/>
      <c r="DN179" s="182"/>
      <c r="DO179" s="182"/>
      <c r="DP179" s="182"/>
      <c r="DQ179" s="182"/>
      <c r="DR179" s="31"/>
      <c r="DS179" s="31"/>
      <c r="DT179" s="31"/>
      <c r="DU179" s="31"/>
      <c r="DV179" s="31"/>
      <c r="DW179" s="31"/>
      <c r="DX179" s="31"/>
      <c r="DY179" s="31"/>
      <c r="DZ179" s="31"/>
      <c r="EA179" s="31"/>
      <c r="EB179" s="31"/>
      <c r="EC179" s="31"/>
      <c r="ED179" s="31"/>
      <c r="EE179" s="31"/>
      <c r="EF179" s="31"/>
      <c r="EG179" s="31"/>
      <c r="EH179" s="31"/>
      <c r="EI179" s="31"/>
      <c r="EJ179" s="28"/>
    </row>
    <row r="180" spans="1:140" s="32" customFormat="1" ht="22.5" customHeight="1">
      <c r="A180" s="59">
        <v>16</v>
      </c>
      <c r="B180" s="52" t="s">
        <v>1473</v>
      </c>
      <c r="C180" s="51" t="s">
        <v>1495</v>
      </c>
      <c r="D180" s="50"/>
      <c r="E180" s="80" t="s">
        <v>1496</v>
      </c>
      <c r="F180" s="52" t="s">
        <v>1497</v>
      </c>
      <c r="G180" s="141">
        <f>3800*6*0.85</f>
        <v>19380</v>
      </c>
      <c r="H180" s="52"/>
      <c r="I180" s="98"/>
      <c r="J180" s="52"/>
      <c r="K180" s="30"/>
      <c r="L180" s="29">
        <f>D180+G180+I180+K180</f>
        <v>19380</v>
      </c>
      <c r="M180" s="29">
        <f t="shared" si="82"/>
        <v>0</v>
      </c>
      <c r="N180" s="29">
        <f t="shared" si="77"/>
        <v>19380</v>
      </c>
      <c r="O180" s="29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9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180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182"/>
      <c r="DM180" s="182"/>
      <c r="DN180" s="182"/>
      <c r="DO180" s="182"/>
      <c r="DP180" s="182"/>
      <c r="DQ180" s="182"/>
      <c r="DR180" s="31"/>
      <c r="DS180" s="31"/>
      <c r="DT180" s="31"/>
      <c r="DU180" s="31"/>
      <c r="DV180" s="31"/>
      <c r="DW180" s="31"/>
      <c r="DX180" s="31"/>
      <c r="DY180" s="31"/>
      <c r="DZ180" s="31"/>
      <c r="EA180" s="31"/>
      <c r="EB180" s="31"/>
      <c r="EC180" s="31"/>
      <c r="ED180" s="31"/>
      <c r="EE180" s="31"/>
      <c r="EF180" s="31"/>
      <c r="EG180" s="31"/>
      <c r="EH180" s="31"/>
      <c r="EI180" s="31"/>
      <c r="EJ180" s="28"/>
    </row>
    <row r="181" spans="1:140" s="32" customFormat="1" ht="22.5" customHeight="1">
      <c r="A181" s="59">
        <v>17</v>
      </c>
      <c r="B181" s="52" t="s">
        <v>1473</v>
      </c>
      <c r="C181" s="51" t="s">
        <v>1498</v>
      </c>
      <c r="D181" s="50"/>
      <c r="E181" s="80" t="s">
        <v>1496</v>
      </c>
      <c r="F181" s="52" t="s">
        <v>1499</v>
      </c>
      <c r="G181" s="141">
        <f>3800*4*0.85</f>
        <v>12920</v>
      </c>
      <c r="H181" s="52"/>
      <c r="I181" s="98"/>
      <c r="J181" s="52"/>
      <c r="K181" s="30"/>
      <c r="L181" s="29">
        <f t="shared" ref="L181:L183" si="86">D181+G181+I181+K181</f>
        <v>12920</v>
      </c>
      <c r="M181" s="29">
        <f t="shared" si="82"/>
        <v>12920</v>
      </c>
      <c r="N181" s="29">
        <f t="shared" si="77"/>
        <v>0</v>
      </c>
      <c r="O181" s="29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>
        <f>3800*0.85-3230</f>
        <v>0</v>
      </c>
      <c r="AW181" s="31">
        <f t="shared" ref="AW181:AY181" si="87">3800*0.85-3230</f>
        <v>0</v>
      </c>
      <c r="AX181" s="31">
        <f t="shared" si="87"/>
        <v>0</v>
      </c>
      <c r="AY181" s="31">
        <f t="shared" si="87"/>
        <v>0</v>
      </c>
      <c r="AZ181" s="31">
        <f>3800*0.85</f>
        <v>3230</v>
      </c>
      <c r="BA181" s="31">
        <f t="shared" ref="BA181:BC181" si="88">3800*0.85</f>
        <v>3230</v>
      </c>
      <c r="BB181" s="31">
        <f t="shared" si="88"/>
        <v>3230</v>
      </c>
      <c r="BC181" s="31">
        <f t="shared" si="88"/>
        <v>3230</v>
      </c>
      <c r="BD181" s="31"/>
      <c r="BE181" s="31"/>
      <c r="BF181" s="31"/>
      <c r="BG181" s="31"/>
      <c r="BH181" s="31"/>
      <c r="BI181" s="31"/>
      <c r="BJ181" s="31"/>
      <c r="BK181" s="31"/>
      <c r="BL181" s="39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180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182"/>
      <c r="DM181" s="182"/>
      <c r="DN181" s="182"/>
      <c r="DO181" s="182"/>
      <c r="DP181" s="182"/>
      <c r="DQ181" s="182"/>
      <c r="DR181" s="31"/>
      <c r="DS181" s="31"/>
      <c r="DT181" s="31"/>
      <c r="DU181" s="31"/>
      <c r="DV181" s="31"/>
      <c r="DW181" s="31"/>
      <c r="DX181" s="31"/>
      <c r="DY181" s="31"/>
      <c r="DZ181" s="31"/>
      <c r="EA181" s="31"/>
      <c r="EB181" s="31"/>
      <c r="EC181" s="31"/>
      <c r="ED181" s="31"/>
      <c r="EE181" s="31"/>
      <c r="EF181" s="31"/>
      <c r="EG181" s="31"/>
      <c r="EH181" s="31"/>
      <c r="EI181" s="31"/>
      <c r="EJ181" s="28"/>
    </row>
    <row r="182" spans="1:140" s="32" customFormat="1" ht="22.5" customHeight="1">
      <c r="A182" s="59">
        <v>18</v>
      </c>
      <c r="B182" s="52" t="s">
        <v>1473</v>
      </c>
      <c r="C182" s="51" t="s">
        <v>1500</v>
      </c>
      <c r="D182" s="50"/>
      <c r="E182" s="80" t="s">
        <v>1496</v>
      </c>
      <c r="F182" s="52" t="s">
        <v>1497</v>
      </c>
      <c r="G182" s="141">
        <f>3800*6*0.85</f>
        <v>19380</v>
      </c>
      <c r="H182" s="52"/>
      <c r="I182" s="98"/>
      <c r="J182" s="52"/>
      <c r="K182" s="30"/>
      <c r="L182" s="29">
        <f t="shared" si="86"/>
        <v>19380</v>
      </c>
      <c r="M182" s="29">
        <f t="shared" si="82"/>
        <v>0</v>
      </c>
      <c r="N182" s="29">
        <f t="shared" si="77"/>
        <v>19380</v>
      </c>
      <c r="O182" s="29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9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180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182"/>
      <c r="DM182" s="182"/>
      <c r="DN182" s="182"/>
      <c r="DO182" s="182"/>
      <c r="DP182" s="182"/>
      <c r="DQ182" s="182"/>
      <c r="DR182" s="31"/>
      <c r="DS182" s="31"/>
      <c r="DT182" s="31"/>
      <c r="DU182" s="31"/>
      <c r="DV182" s="31"/>
      <c r="DW182" s="31"/>
      <c r="DX182" s="31"/>
      <c r="DY182" s="31"/>
      <c r="DZ182" s="31"/>
      <c r="EA182" s="31"/>
      <c r="EB182" s="31"/>
      <c r="EC182" s="31"/>
      <c r="ED182" s="31"/>
      <c r="EE182" s="31"/>
      <c r="EF182" s="31"/>
      <c r="EG182" s="31"/>
      <c r="EH182" s="31"/>
      <c r="EI182" s="31"/>
      <c r="EJ182" s="28"/>
    </row>
    <row r="183" spans="1:140" s="32" customFormat="1" ht="22.5" customHeight="1">
      <c r="A183" s="59">
        <v>19</v>
      </c>
      <c r="B183" s="52" t="s">
        <v>1473</v>
      </c>
      <c r="C183" s="51" t="s">
        <v>1501</v>
      </c>
      <c r="D183" s="50"/>
      <c r="E183" s="80" t="s">
        <v>1502</v>
      </c>
      <c r="F183" s="52" t="s">
        <v>1481</v>
      </c>
      <c r="G183" s="141">
        <f>3800*6*0.85</f>
        <v>19380</v>
      </c>
      <c r="H183" s="52"/>
      <c r="I183" s="89"/>
      <c r="J183" s="52"/>
      <c r="K183" s="30"/>
      <c r="L183" s="29">
        <f t="shared" si="86"/>
        <v>19380</v>
      </c>
      <c r="M183" s="29">
        <f t="shared" si="82"/>
        <v>19380</v>
      </c>
      <c r="N183" s="29">
        <f t="shared" si="77"/>
        <v>0</v>
      </c>
      <c r="O183" s="29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>
        <f>3800*0.85</f>
        <v>3230</v>
      </c>
      <c r="BG183" s="31">
        <f>3800*0.85</f>
        <v>3230</v>
      </c>
      <c r="BH183" s="31">
        <f t="shared" ref="BH183:BK183" si="89">3800*0.85</f>
        <v>3230</v>
      </c>
      <c r="BI183" s="31">
        <f t="shared" si="89"/>
        <v>3230</v>
      </c>
      <c r="BJ183" s="31">
        <f t="shared" si="89"/>
        <v>3230</v>
      </c>
      <c r="BK183" s="31">
        <f t="shared" si="89"/>
        <v>3230</v>
      </c>
      <c r="BL183" s="39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180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182"/>
      <c r="DM183" s="182"/>
      <c r="DN183" s="182"/>
      <c r="DO183" s="182"/>
      <c r="DP183" s="182"/>
      <c r="DQ183" s="182"/>
      <c r="DR183" s="31"/>
      <c r="DS183" s="31"/>
      <c r="DT183" s="31"/>
      <c r="DU183" s="31"/>
      <c r="DV183" s="31"/>
      <c r="DW183" s="31"/>
      <c r="DX183" s="31"/>
      <c r="DY183" s="31"/>
      <c r="DZ183" s="31"/>
      <c r="EA183" s="31"/>
      <c r="EB183" s="31"/>
      <c r="EC183" s="31"/>
      <c r="ED183" s="31"/>
      <c r="EE183" s="31"/>
      <c r="EF183" s="31"/>
      <c r="EG183" s="31"/>
      <c r="EH183" s="31"/>
      <c r="EI183" s="31"/>
      <c r="EJ183" s="28"/>
    </row>
    <row r="184" spans="1:140" s="32" customFormat="1" ht="22.5" customHeight="1">
      <c r="A184" s="59">
        <v>20</v>
      </c>
      <c r="B184" s="52" t="s">
        <v>1473</v>
      </c>
      <c r="C184" s="51" t="s">
        <v>1503</v>
      </c>
      <c r="D184" s="50"/>
      <c r="E184" s="80" t="s">
        <v>1504</v>
      </c>
      <c r="F184" s="52" t="s">
        <v>1505</v>
      </c>
      <c r="G184" s="141">
        <f>3800*2*0.85</f>
        <v>6460</v>
      </c>
      <c r="H184" s="52"/>
      <c r="I184" s="89"/>
      <c r="J184" s="52"/>
      <c r="K184" s="8"/>
      <c r="L184" s="29">
        <f>D184+G184+I184+K184</f>
        <v>6460</v>
      </c>
      <c r="M184" s="29">
        <f>SUM(O184:EI184)</f>
        <v>6460</v>
      </c>
      <c r="N184" s="29">
        <f>L184-M184</f>
        <v>0</v>
      </c>
      <c r="O184" s="29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>
        <f t="shared" si="61"/>
        <v>0</v>
      </c>
      <c r="AU184" s="31">
        <f>3800*0.85-3230</f>
        <v>0</v>
      </c>
      <c r="AV184" s="31">
        <f t="shared" ref="AV184:AW184" si="90">3800*0.85-3230</f>
        <v>0</v>
      </c>
      <c r="AW184" s="31">
        <f t="shared" si="90"/>
        <v>0</v>
      </c>
      <c r="AX184" s="31">
        <f t="shared" si="62"/>
        <v>3230</v>
      </c>
      <c r="AY184" s="31">
        <f t="shared" si="62"/>
        <v>3230</v>
      </c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9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180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182"/>
      <c r="DM184" s="182"/>
      <c r="DN184" s="182"/>
      <c r="DO184" s="182"/>
      <c r="DP184" s="182"/>
      <c r="DQ184" s="182"/>
      <c r="DR184" s="31"/>
      <c r="DS184" s="31"/>
      <c r="DT184" s="31"/>
      <c r="DU184" s="31"/>
      <c r="DV184" s="31"/>
      <c r="DW184" s="31"/>
      <c r="DX184" s="31"/>
      <c r="DY184" s="31"/>
      <c r="DZ184" s="31"/>
      <c r="EA184" s="31"/>
      <c r="EB184" s="31"/>
      <c r="EC184" s="31"/>
      <c r="ED184" s="31"/>
      <c r="EE184" s="31"/>
      <c r="EF184" s="31"/>
      <c r="EG184" s="31"/>
      <c r="EH184" s="31"/>
      <c r="EI184" s="31"/>
      <c r="EJ184" s="28"/>
    </row>
    <row r="185" spans="1:140" s="32" customFormat="1" ht="22.5" customHeight="1">
      <c r="A185" s="59">
        <v>21</v>
      </c>
      <c r="B185" s="52" t="s">
        <v>1473</v>
      </c>
      <c r="C185" s="51" t="s">
        <v>1506</v>
      </c>
      <c r="D185" s="50"/>
      <c r="E185" s="80" t="s">
        <v>1468</v>
      </c>
      <c r="F185" s="52" t="s">
        <v>1481</v>
      </c>
      <c r="G185" s="141">
        <f>3800*6*0.85</f>
        <v>19380</v>
      </c>
      <c r="H185" s="52"/>
      <c r="I185" s="89"/>
      <c r="J185" s="52"/>
      <c r="K185" s="8"/>
      <c r="L185" s="29">
        <f t="shared" ref="L185:L190" si="91">D185+G185+I185+K185</f>
        <v>19380</v>
      </c>
      <c r="M185" s="29">
        <f t="shared" ref="M185:M190" si="92">SUM(O185:EI185)</f>
        <v>19380</v>
      </c>
      <c r="N185" s="29">
        <f t="shared" ref="N185:N199" si="93">L185-M185</f>
        <v>0</v>
      </c>
      <c r="O185" s="29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>
        <f>3800*0.85</f>
        <v>3230</v>
      </c>
      <c r="BA185" s="31">
        <f t="shared" ref="BA185:BE186" si="94">3800*0.85</f>
        <v>3230</v>
      </c>
      <c r="BB185" s="31">
        <f t="shared" si="94"/>
        <v>3230</v>
      </c>
      <c r="BC185" s="31">
        <f>3800*0.85</f>
        <v>3230</v>
      </c>
      <c r="BD185" s="31">
        <f t="shared" si="94"/>
        <v>3230</v>
      </c>
      <c r="BE185" s="31">
        <f t="shared" si="94"/>
        <v>3230</v>
      </c>
      <c r="BF185" s="31"/>
      <c r="BG185" s="31"/>
      <c r="BH185" s="31"/>
      <c r="BI185" s="31"/>
      <c r="BJ185" s="31"/>
      <c r="BK185" s="31"/>
      <c r="BL185" s="39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180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182"/>
      <c r="DM185" s="182"/>
      <c r="DN185" s="182"/>
      <c r="DO185" s="182"/>
      <c r="DP185" s="182"/>
      <c r="DQ185" s="182"/>
      <c r="DR185" s="31"/>
      <c r="DS185" s="31"/>
      <c r="DT185" s="31"/>
      <c r="DU185" s="31"/>
      <c r="DV185" s="31"/>
      <c r="DW185" s="31"/>
      <c r="DX185" s="31"/>
      <c r="DY185" s="31"/>
      <c r="DZ185" s="31"/>
      <c r="EA185" s="31"/>
      <c r="EB185" s="31"/>
      <c r="EC185" s="31"/>
      <c r="ED185" s="31"/>
      <c r="EE185" s="31"/>
      <c r="EF185" s="31"/>
      <c r="EG185" s="31"/>
      <c r="EH185" s="31"/>
      <c r="EI185" s="31"/>
      <c r="EJ185" s="28"/>
    </row>
    <row r="186" spans="1:140" s="32" customFormat="1" ht="22.5" customHeight="1">
      <c r="A186" s="59">
        <v>22</v>
      </c>
      <c r="B186" s="52" t="s">
        <v>1473</v>
      </c>
      <c r="C186" s="51" t="s">
        <v>1507</v>
      </c>
      <c r="D186" s="50"/>
      <c r="E186" s="80" t="s">
        <v>1468</v>
      </c>
      <c r="F186" s="52" t="s">
        <v>1481</v>
      </c>
      <c r="G186" s="141">
        <f>3800*6*0.85</f>
        <v>19380</v>
      </c>
      <c r="H186" s="52"/>
      <c r="I186" s="89"/>
      <c r="J186" s="52"/>
      <c r="K186" s="8"/>
      <c r="L186" s="29">
        <f t="shared" si="91"/>
        <v>19380</v>
      </c>
      <c r="M186" s="29">
        <f t="shared" si="92"/>
        <v>19380</v>
      </c>
      <c r="N186" s="29">
        <f t="shared" si="93"/>
        <v>0</v>
      </c>
      <c r="O186" s="29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>
        <f>3800*0.85</f>
        <v>3230</v>
      </c>
      <c r="BA186" s="31">
        <f t="shared" si="94"/>
        <v>3230</v>
      </c>
      <c r="BB186" s="31">
        <f t="shared" si="94"/>
        <v>3230</v>
      </c>
      <c r="BC186" s="31">
        <f>3800*0.85</f>
        <v>3230</v>
      </c>
      <c r="BD186" s="31">
        <f t="shared" si="94"/>
        <v>3230</v>
      </c>
      <c r="BE186" s="31">
        <f t="shared" si="94"/>
        <v>3230</v>
      </c>
      <c r="BF186" s="31"/>
      <c r="BG186" s="31"/>
      <c r="BH186" s="31"/>
      <c r="BI186" s="31"/>
      <c r="BJ186" s="31"/>
      <c r="BK186" s="31"/>
      <c r="BL186" s="39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180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182"/>
      <c r="DM186" s="182"/>
      <c r="DN186" s="182"/>
      <c r="DO186" s="182"/>
      <c r="DP186" s="182"/>
      <c r="DQ186" s="182"/>
      <c r="DR186" s="31"/>
      <c r="DS186" s="31"/>
      <c r="DT186" s="31"/>
      <c r="DU186" s="31"/>
      <c r="DV186" s="31"/>
      <c r="DW186" s="31"/>
      <c r="DX186" s="31"/>
      <c r="DY186" s="31"/>
      <c r="DZ186" s="31"/>
      <c r="EA186" s="31"/>
      <c r="EB186" s="31"/>
      <c r="EC186" s="31"/>
      <c r="ED186" s="31"/>
      <c r="EE186" s="31"/>
      <c r="EF186" s="31"/>
      <c r="EG186" s="31"/>
      <c r="EH186" s="31"/>
      <c r="EI186" s="31"/>
      <c r="EJ186" s="28"/>
    </row>
    <row r="187" spans="1:140" s="32" customFormat="1" ht="22.5" customHeight="1">
      <c r="A187" s="59">
        <v>23</v>
      </c>
      <c r="B187" s="52" t="s">
        <v>1473</v>
      </c>
      <c r="C187" s="51" t="s">
        <v>1508</v>
      </c>
      <c r="D187" s="50"/>
      <c r="E187" s="80" t="s">
        <v>1509</v>
      </c>
      <c r="F187" s="52" t="s">
        <v>1481</v>
      </c>
      <c r="G187" s="141">
        <f>5000*6</f>
        <v>30000</v>
      </c>
      <c r="H187" s="52"/>
      <c r="I187" s="89"/>
      <c r="J187" s="52"/>
      <c r="K187" s="8"/>
      <c r="L187" s="29">
        <f t="shared" si="91"/>
        <v>30000</v>
      </c>
      <c r="M187" s="29">
        <f t="shared" si="92"/>
        <v>30000</v>
      </c>
      <c r="N187" s="29">
        <f t="shared" si="93"/>
        <v>0</v>
      </c>
      <c r="O187" s="29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>
        <v>5000</v>
      </c>
      <c r="BA187" s="31">
        <v>5000</v>
      </c>
      <c r="BB187" s="31">
        <v>5000</v>
      </c>
      <c r="BC187" s="31">
        <v>5000</v>
      </c>
      <c r="BD187" s="31">
        <v>5000</v>
      </c>
      <c r="BE187" s="31">
        <v>5000</v>
      </c>
      <c r="BF187" s="31"/>
      <c r="BG187" s="31"/>
      <c r="BH187" s="31"/>
      <c r="BI187" s="31"/>
      <c r="BJ187" s="31"/>
      <c r="BK187" s="31"/>
      <c r="BL187" s="39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180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182"/>
      <c r="DM187" s="182"/>
      <c r="DN187" s="182"/>
      <c r="DO187" s="182"/>
      <c r="DP187" s="182"/>
      <c r="DQ187" s="182"/>
      <c r="DR187" s="31"/>
      <c r="DS187" s="31"/>
      <c r="DT187" s="31"/>
      <c r="DU187" s="31"/>
      <c r="DV187" s="31"/>
      <c r="DW187" s="31"/>
      <c r="DX187" s="31"/>
      <c r="DY187" s="31"/>
      <c r="DZ187" s="31"/>
      <c r="EA187" s="31"/>
      <c r="EB187" s="31"/>
      <c r="EC187" s="31"/>
      <c r="ED187" s="31"/>
      <c r="EE187" s="31"/>
      <c r="EF187" s="31"/>
      <c r="EG187" s="31"/>
      <c r="EH187" s="31"/>
      <c r="EI187" s="31"/>
      <c r="EJ187" s="28"/>
    </row>
    <row r="188" spans="1:140" s="32" customFormat="1" ht="22.5" customHeight="1">
      <c r="A188" s="59">
        <v>24</v>
      </c>
      <c r="B188" s="52" t="s">
        <v>1473</v>
      </c>
      <c r="C188" s="51" t="s">
        <v>1510</v>
      </c>
      <c r="D188" s="50"/>
      <c r="E188" s="80" t="s">
        <v>1464</v>
      </c>
      <c r="F188" s="52" t="s">
        <v>1511</v>
      </c>
      <c r="G188" s="141">
        <f>3800*4*0.85</f>
        <v>12920</v>
      </c>
      <c r="H188" s="52"/>
      <c r="I188" s="89"/>
      <c r="J188" s="52"/>
      <c r="K188" s="8"/>
      <c r="L188" s="29">
        <f t="shared" si="91"/>
        <v>12920</v>
      </c>
      <c r="M188" s="29">
        <f t="shared" si="92"/>
        <v>12920</v>
      </c>
      <c r="N188" s="29">
        <f t="shared" si="93"/>
        <v>0</v>
      </c>
      <c r="O188" s="29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>
        <f>3800*0.85</f>
        <v>3230</v>
      </c>
      <c r="BI188" s="31">
        <f t="shared" ref="BI188:BK188" si="95">3800*0.85</f>
        <v>3230</v>
      </c>
      <c r="BJ188" s="31">
        <f t="shared" si="95"/>
        <v>3230</v>
      </c>
      <c r="BK188" s="31">
        <f t="shared" si="95"/>
        <v>3230</v>
      </c>
      <c r="BL188" s="39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180"/>
      <c r="CY188" s="31"/>
      <c r="CZ188" s="31"/>
      <c r="DA188" s="31"/>
      <c r="DB188" s="31"/>
      <c r="DC188" s="31"/>
      <c r="DD188" s="31"/>
      <c r="DE188" s="31"/>
      <c r="DF188" s="31"/>
      <c r="DG188" s="31"/>
      <c r="DH188" s="31"/>
      <c r="DI188" s="31"/>
      <c r="DJ188" s="31"/>
      <c r="DK188" s="31"/>
      <c r="DL188" s="182"/>
      <c r="DM188" s="182"/>
      <c r="DN188" s="182"/>
      <c r="DO188" s="182"/>
      <c r="DP188" s="182"/>
      <c r="DQ188" s="182"/>
      <c r="DR188" s="31"/>
      <c r="DS188" s="31"/>
      <c r="DT188" s="31"/>
      <c r="DU188" s="31"/>
      <c r="DV188" s="31"/>
      <c r="DW188" s="31"/>
      <c r="DX188" s="31"/>
      <c r="DY188" s="31"/>
      <c r="DZ188" s="31"/>
      <c r="EA188" s="31"/>
      <c r="EB188" s="31"/>
      <c r="EC188" s="31"/>
      <c r="ED188" s="31"/>
      <c r="EE188" s="31"/>
      <c r="EF188" s="31"/>
      <c r="EG188" s="31"/>
      <c r="EH188" s="31"/>
      <c r="EI188" s="31"/>
      <c r="EJ188" s="28"/>
    </row>
    <row r="189" spans="1:140" s="32" customFormat="1" ht="22.5" customHeight="1">
      <c r="A189" s="59">
        <v>25</v>
      </c>
      <c r="B189" s="52" t="s">
        <v>1473</v>
      </c>
      <c r="C189" s="51" t="s">
        <v>1512</v>
      </c>
      <c r="D189" s="50"/>
      <c r="E189" s="80" t="s">
        <v>1513</v>
      </c>
      <c r="F189" s="52" t="s">
        <v>1481</v>
      </c>
      <c r="G189" s="141">
        <f>3800*6*0.85-1000</f>
        <v>18380</v>
      </c>
      <c r="H189" s="52"/>
      <c r="I189" s="89"/>
      <c r="J189" s="52"/>
      <c r="K189" s="8"/>
      <c r="L189" s="29">
        <f t="shared" si="91"/>
        <v>18380</v>
      </c>
      <c r="M189" s="29">
        <f t="shared" si="92"/>
        <v>18380</v>
      </c>
      <c r="N189" s="29">
        <f t="shared" si="93"/>
        <v>0</v>
      </c>
      <c r="O189" s="29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>
        <f>3800*0.85-1000</f>
        <v>2230</v>
      </c>
      <c r="BA189" s="31">
        <f t="shared" ref="BA189:BE189" si="96">3800*0.85</f>
        <v>3230</v>
      </c>
      <c r="BB189" s="31">
        <f t="shared" si="96"/>
        <v>3230</v>
      </c>
      <c r="BC189" s="31">
        <f t="shared" si="96"/>
        <v>3230</v>
      </c>
      <c r="BD189" s="31">
        <f t="shared" si="96"/>
        <v>3230</v>
      </c>
      <c r="BE189" s="31">
        <f t="shared" si="96"/>
        <v>3230</v>
      </c>
      <c r="BF189" s="31"/>
      <c r="BG189" s="31"/>
      <c r="BH189" s="31"/>
      <c r="BI189" s="31"/>
      <c r="BJ189" s="31"/>
      <c r="BK189" s="31"/>
      <c r="BL189" s="39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180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182"/>
      <c r="DM189" s="182"/>
      <c r="DN189" s="182"/>
      <c r="DO189" s="182"/>
      <c r="DP189" s="182"/>
      <c r="DQ189" s="182"/>
      <c r="DR189" s="31"/>
      <c r="DS189" s="31"/>
      <c r="DT189" s="31"/>
      <c r="DU189" s="31"/>
      <c r="DV189" s="31"/>
      <c r="DW189" s="31"/>
      <c r="DX189" s="31"/>
      <c r="DY189" s="31"/>
      <c r="DZ189" s="31"/>
      <c r="EA189" s="31"/>
      <c r="EB189" s="31"/>
      <c r="EC189" s="31"/>
      <c r="ED189" s="31"/>
      <c r="EE189" s="31"/>
      <c r="EF189" s="31"/>
      <c r="EG189" s="31"/>
      <c r="EH189" s="31"/>
      <c r="EI189" s="31"/>
      <c r="EJ189" s="28"/>
    </row>
    <row r="190" spans="1:140" s="32" customFormat="1" ht="22.5" customHeight="1">
      <c r="A190" s="59">
        <v>26</v>
      </c>
      <c r="B190" s="52" t="s">
        <v>1473</v>
      </c>
      <c r="C190" s="51" t="s">
        <v>1514</v>
      </c>
      <c r="D190" s="50"/>
      <c r="E190" s="80" t="s">
        <v>1515</v>
      </c>
      <c r="F190" s="52" t="s">
        <v>1491</v>
      </c>
      <c r="G190" s="141">
        <f>3800*6*0.85</f>
        <v>19380</v>
      </c>
      <c r="H190" s="52"/>
      <c r="I190" s="89"/>
      <c r="J190" s="52"/>
      <c r="K190" s="8"/>
      <c r="L190" s="29">
        <f t="shared" si="91"/>
        <v>19380</v>
      </c>
      <c r="M190" s="29">
        <f t="shared" si="92"/>
        <v>19380</v>
      </c>
      <c r="N190" s="29">
        <f t="shared" si="93"/>
        <v>0</v>
      </c>
      <c r="O190" s="29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>
        <f>3800*0.85</f>
        <v>3230</v>
      </c>
      <c r="BG190" s="31">
        <f t="shared" ref="BG190:BK190" si="97">3800*0.85</f>
        <v>3230</v>
      </c>
      <c r="BH190" s="31">
        <f t="shared" si="97"/>
        <v>3230</v>
      </c>
      <c r="BI190" s="31">
        <f t="shared" si="97"/>
        <v>3230</v>
      </c>
      <c r="BJ190" s="31">
        <f t="shared" si="97"/>
        <v>3230</v>
      </c>
      <c r="BK190" s="31">
        <f t="shared" si="97"/>
        <v>3230</v>
      </c>
      <c r="BL190" s="39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180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182"/>
      <c r="DM190" s="182"/>
      <c r="DN190" s="182"/>
      <c r="DO190" s="182"/>
      <c r="DP190" s="182"/>
      <c r="DQ190" s="182"/>
      <c r="DR190" s="31"/>
      <c r="DS190" s="31"/>
      <c r="DT190" s="31"/>
      <c r="DU190" s="31"/>
      <c r="DV190" s="31"/>
      <c r="DW190" s="31"/>
      <c r="DX190" s="31"/>
      <c r="DY190" s="31"/>
      <c r="DZ190" s="31"/>
      <c r="EA190" s="31"/>
      <c r="EB190" s="31"/>
      <c r="EC190" s="31"/>
      <c r="ED190" s="31"/>
      <c r="EE190" s="31"/>
      <c r="EF190" s="31"/>
      <c r="EG190" s="31"/>
      <c r="EH190" s="31"/>
      <c r="EI190" s="31"/>
      <c r="EJ190" s="28"/>
    </row>
    <row r="191" spans="1:140" s="32" customFormat="1" ht="22.5" customHeight="1">
      <c r="A191" s="59">
        <v>27</v>
      </c>
      <c r="B191" s="52" t="s">
        <v>1473</v>
      </c>
      <c r="C191" s="51" t="s">
        <v>1516</v>
      </c>
      <c r="D191" s="50"/>
      <c r="E191" s="80" t="s">
        <v>1517</v>
      </c>
      <c r="F191" s="52" t="s">
        <v>1481</v>
      </c>
      <c r="G191" s="141">
        <f>3800*6*0.85</f>
        <v>19380</v>
      </c>
      <c r="H191" s="52"/>
      <c r="I191" s="89"/>
      <c r="J191" s="52"/>
      <c r="K191" s="8"/>
      <c r="L191" s="29">
        <f>D191+G191+I191+K191</f>
        <v>19380</v>
      </c>
      <c r="M191" s="29">
        <f t="shared" ref="M191" si="98">SUM(O191:EI191)</f>
        <v>19380</v>
      </c>
      <c r="N191" s="29">
        <f t="shared" si="93"/>
        <v>0</v>
      </c>
      <c r="O191" s="29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>
        <f>3800*0.85</f>
        <v>3230</v>
      </c>
      <c r="BA191" s="31">
        <f t="shared" ref="BA191:BE192" si="99">3800*0.85</f>
        <v>3230</v>
      </c>
      <c r="BB191" s="31">
        <f t="shared" si="99"/>
        <v>3230</v>
      </c>
      <c r="BC191" s="31">
        <f t="shared" si="99"/>
        <v>3230</v>
      </c>
      <c r="BD191" s="31">
        <f t="shared" si="99"/>
        <v>3230</v>
      </c>
      <c r="BE191" s="31">
        <f t="shared" si="99"/>
        <v>3230</v>
      </c>
      <c r="BF191" s="31"/>
      <c r="BG191" s="31"/>
      <c r="BH191" s="31"/>
      <c r="BI191" s="31"/>
      <c r="BJ191" s="31"/>
      <c r="BK191" s="31"/>
      <c r="BL191" s="39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180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182"/>
      <c r="DM191" s="182"/>
      <c r="DN191" s="182"/>
      <c r="DO191" s="182"/>
      <c r="DP191" s="182"/>
      <c r="DQ191" s="182"/>
      <c r="DR191" s="31"/>
      <c r="DS191" s="31"/>
      <c r="DT191" s="31"/>
      <c r="DU191" s="31"/>
      <c r="DV191" s="31"/>
      <c r="DW191" s="31"/>
      <c r="DX191" s="31"/>
      <c r="DY191" s="31"/>
      <c r="DZ191" s="31"/>
      <c r="EA191" s="31"/>
      <c r="EB191" s="31"/>
      <c r="EC191" s="31"/>
      <c r="ED191" s="31"/>
      <c r="EE191" s="31"/>
      <c r="EF191" s="31"/>
      <c r="EG191" s="31"/>
      <c r="EH191" s="31"/>
      <c r="EI191" s="31"/>
      <c r="EJ191" s="28"/>
    </row>
    <row r="192" spans="1:140" s="32" customFormat="1" ht="22.5" customHeight="1">
      <c r="A192" s="59">
        <v>28</v>
      </c>
      <c r="B192" s="52" t="s">
        <v>1473</v>
      </c>
      <c r="C192" s="51" t="s">
        <v>1518</v>
      </c>
      <c r="D192" s="50"/>
      <c r="E192" s="80" t="s">
        <v>1519</v>
      </c>
      <c r="F192" s="52" t="s">
        <v>1481</v>
      </c>
      <c r="G192" s="141">
        <f>3800*6*0.85</f>
        <v>19380</v>
      </c>
      <c r="H192" s="52"/>
      <c r="I192" s="89"/>
      <c r="J192" s="52"/>
      <c r="K192" s="8"/>
      <c r="L192" s="29">
        <f t="shared" ref="L192:L198" si="100">D192+G192+I192+K192</f>
        <v>19380</v>
      </c>
      <c r="M192" s="29">
        <f t="shared" ref="M192:M198" si="101">SUM(O192:EI192)</f>
        <v>19380</v>
      </c>
      <c r="N192" s="29">
        <f t="shared" si="93"/>
        <v>0</v>
      </c>
      <c r="O192" s="29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>
        <f>3800*0.85</f>
        <v>3230</v>
      </c>
      <c r="BA192" s="31">
        <f t="shared" si="99"/>
        <v>3230</v>
      </c>
      <c r="BB192" s="31">
        <f t="shared" si="99"/>
        <v>3230</v>
      </c>
      <c r="BC192" s="31">
        <f t="shared" si="99"/>
        <v>3230</v>
      </c>
      <c r="BD192" s="31">
        <f t="shared" si="99"/>
        <v>3230</v>
      </c>
      <c r="BE192" s="31">
        <f t="shared" si="99"/>
        <v>3230</v>
      </c>
      <c r="BF192" s="31"/>
      <c r="BG192" s="31"/>
      <c r="BH192" s="31"/>
      <c r="BI192" s="31"/>
      <c r="BJ192" s="31"/>
      <c r="BK192" s="31"/>
      <c r="BL192" s="39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180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182"/>
      <c r="DM192" s="182"/>
      <c r="DN192" s="182"/>
      <c r="DO192" s="182"/>
      <c r="DP192" s="182"/>
      <c r="DQ192" s="182"/>
      <c r="DR192" s="31"/>
      <c r="DS192" s="31"/>
      <c r="DT192" s="31"/>
      <c r="DU192" s="31"/>
      <c r="DV192" s="31"/>
      <c r="DW192" s="31"/>
      <c r="DX192" s="31"/>
      <c r="DY192" s="31"/>
      <c r="DZ192" s="31"/>
      <c r="EA192" s="31"/>
      <c r="EB192" s="31"/>
      <c r="EC192" s="31"/>
      <c r="ED192" s="31"/>
      <c r="EE192" s="31"/>
      <c r="EF192" s="31"/>
      <c r="EG192" s="31"/>
      <c r="EH192" s="31"/>
      <c r="EI192" s="31"/>
      <c r="EJ192" s="28"/>
    </row>
    <row r="193" spans="1:140" s="32" customFormat="1" ht="22.5" customHeight="1">
      <c r="A193" s="59">
        <v>29</v>
      </c>
      <c r="B193" s="52" t="s">
        <v>1473</v>
      </c>
      <c r="C193" s="51" t="s">
        <v>1520</v>
      </c>
      <c r="D193" s="50">
        <f>1200+600</f>
        <v>1800</v>
      </c>
      <c r="E193" s="80" t="s">
        <v>1521</v>
      </c>
      <c r="F193" s="52" t="s">
        <v>1481</v>
      </c>
      <c r="G193" s="141">
        <f>3800*0.8*6</f>
        <v>18240</v>
      </c>
      <c r="H193" s="52" t="s">
        <v>1481</v>
      </c>
      <c r="I193" s="89">
        <f>400*6</f>
        <v>2400</v>
      </c>
      <c r="J193" s="52"/>
      <c r="K193" s="8"/>
      <c r="L193" s="29">
        <f t="shared" si="100"/>
        <v>22440</v>
      </c>
      <c r="M193" s="29">
        <f t="shared" si="101"/>
        <v>18240</v>
      </c>
      <c r="N193" s="29">
        <f t="shared" si="93"/>
        <v>4200</v>
      </c>
      <c r="O193" s="29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>
        <f>3800*0.8</f>
        <v>3040</v>
      </c>
      <c r="BA193" s="31">
        <f t="shared" ref="BA193:BE193" si="102">3800*0.8</f>
        <v>3040</v>
      </c>
      <c r="BB193" s="31">
        <f t="shared" si="102"/>
        <v>3040</v>
      </c>
      <c r="BC193" s="31">
        <f t="shared" si="102"/>
        <v>3040</v>
      </c>
      <c r="BD193" s="31">
        <f t="shared" si="102"/>
        <v>3040</v>
      </c>
      <c r="BE193" s="31">
        <f t="shared" si="102"/>
        <v>3040</v>
      </c>
      <c r="BF193" s="31"/>
      <c r="BG193" s="31"/>
      <c r="BH193" s="31"/>
      <c r="BI193" s="31"/>
      <c r="BJ193" s="31"/>
      <c r="BK193" s="31"/>
      <c r="BL193" s="39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180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182"/>
      <c r="DM193" s="182"/>
      <c r="DN193" s="182"/>
      <c r="DO193" s="182"/>
      <c r="DP193" s="182"/>
      <c r="DQ193" s="182"/>
      <c r="DR193" s="31"/>
      <c r="DS193" s="31"/>
      <c r="DT193" s="31"/>
      <c r="DU193" s="31"/>
      <c r="DV193" s="31"/>
      <c r="DW193" s="31"/>
      <c r="DX193" s="31"/>
      <c r="DY193" s="31"/>
      <c r="DZ193" s="31"/>
      <c r="EA193" s="31"/>
      <c r="EB193" s="31"/>
      <c r="EC193" s="31"/>
      <c r="ED193" s="31"/>
      <c r="EE193" s="31"/>
      <c r="EF193" s="31"/>
      <c r="EG193" s="31"/>
      <c r="EH193" s="31"/>
      <c r="EI193" s="31"/>
      <c r="EJ193" s="28"/>
    </row>
    <row r="194" spans="1:140" s="32" customFormat="1" ht="22.5" customHeight="1">
      <c r="A194" s="59">
        <v>30</v>
      </c>
      <c r="B194" s="52" t="s">
        <v>1473</v>
      </c>
      <c r="C194" s="51" t="s">
        <v>1522</v>
      </c>
      <c r="D194" s="50"/>
      <c r="E194" s="80" t="s">
        <v>1523</v>
      </c>
      <c r="F194" s="52" t="s">
        <v>1481</v>
      </c>
      <c r="G194" s="141">
        <f>3800*6*0.85</f>
        <v>19380</v>
      </c>
      <c r="H194" s="52"/>
      <c r="I194" s="89"/>
      <c r="J194" s="52"/>
      <c r="K194" s="8"/>
      <c r="L194" s="29">
        <f t="shared" si="100"/>
        <v>19380</v>
      </c>
      <c r="M194" s="29">
        <f t="shared" si="101"/>
        <v>19380</v>
      </c>
      <c r="N194" s="29">
        <f t="shared" si="93"/>
        <v>0</v>
      </c>
      <c r="O194" s="29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>
        <f>3800*0.85</f>
        <v>3230</v>
      </c>
      <c r="BA194" s="31">
        <f t="shared" ref="BA194:BE194" si="103">3800*0.85</f>
        <v>3230</v>
      </c>
      <c r="BB194" s="31">
        <f t="shared" si="103"/>
        <v>3230</v>
      </c>
      <c r="BC194" s="31">
        <f t="shared" si="103"/>
        <v>3230</v>
      </c>
      <c r="BD194" s="31">
        <f t="shared" si="103"/>
        <v>3230</v>
      </c>
      <c r="BE194" s="31">
        <f t="shared" si="103"/>
        <v>3230</v>
      </c>
      <c r="BF194" s="31"/>
      <c r="BG194" s="31"/>
      <c r="BH194" s="31"/>
      <c r="BI194" s="31"/>
      <c r="BJ194" s="31"/>
      <c r="BK194" s="31"/>
      <c r="BL194" s="39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180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182"/>
      <c r="DM194" s="182"/>
      <c r="DN194" s="182"/>
      <c r="DO194" s="182"/>
      <c r="DP194" s="182"/>
      <c r="DQ194" s="182"/>
      <c r="DR194" s="31"/>
      <c r="DS194" s="31"/>
      <c r="DT194" s="31"/>
      <c r="DU194" s="31"/>
      <c r="DV194" s="31"/>
      <c r="DW194" s="31"/>
      <c r="DX194" s="31"/>
      <c r="DY194" s="31"/>
      <c r="DZ194" s="31"/>
      <c r="EA194" s="31"/>
      <c r="EB194" s="31"/>
      <c r="EC194" s="31"/>
      <c r="ED194" s="31"/>
      <c r="EE194" s="31"/>
      <c r="EF194" s="31"/>
      <c r="EG194" s="31"/>
      <c r="EH194" s="31"/>
      <c r="EI194" s="31"/>
      <c r="EJ194" s="28"/>
    </row>
    <row r="195" spans="1:140" s="32" customFormat="1" ht="22.5" customHeight="1">
      <c r="A195" s="59">
        <v>31</v>
      </c>
      <c r="B195" s="52" t="s">
        <v>1473</v>
      </c>
      <c r="C195" s="51" t="s">
        <v>1524</v>
      </c>
      <c r="D195" s="50"/>
      <c r="E195" s="80" t="s">
        <v>1523</v>
      </c>
      <c r="F195" s="52" t="s">
        <v>1481</v>
      </c>
      <c r="G195" s="141">
        <f>3800*6*0.85*0.95</f>
        <v>18411</v>
      </c>
      <c r="H195" s="52"/>
      <c r="I195" s="89"/>
      <c r="J195" s="52"/>
      <c r="K195" s="8"/>
      <c r="L195" s="29">
        <f t="shared" si="100"/>
        <v>18411</v>
      </c>
      <c r="M195" s="29">
        <f t="shared" si="101"/>
        <v>18411</v>
      </c>
      <c r="N195" s="29">
        <f t="shared" si="93"/>
        <v>0</v>
      </c>
      <c r="O195" s="29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>
        <f>3800*0.85*0.95</f>
        <v>3068.5</v>
      </c>
      <c r="BA195" s="31">
        <f t="shared" ref="BA195:BE195" si="104">3800*0.85*0.95</f>
        <v>3068.5</v>
      </c>
      <c r="BB195" s="31">
        <f t="shared" si="104"/>
        <v>3068.5</v>
      </c>
      <c r="BC195" s="31">
        <f t="shared" si="104"/>
        <v>3068.5</v>
      </c>
      <c r="BD195" s="31">
        <f t="shared" si="104"/>
        <v>3068.5</v>
      </c>
      <c r="BE195" s="31">
        <f t="shared" si="104"/>
        <v>3068.5</v>
      </c>
      <c r="BF195" s="31"/>
      <c r="BG195" s="31"/>
      <c r="BH195" s="31"/>
      <c r="BI195" s="31"/>
      <c r="BJ195" s="31"/>
      <c r="BK195" s="31"/>
      <c r="BL195" s="39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180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182"/>
      <c r="DM195" s="182"/>
      <c r="DN195" s="182"/>
      <c r="DO195" s="182"/>
      <c r="DP195" s="182"/>
      <c r="DQ195" s="182"/>
      <c r="DR195" s="31"/>
      <c r="DS195" s="31"/>
      <c r="DT195" s="31"/>
      <c r="DU195" s="31"/>
      <c r="DV195" s="31"/>
      <c r="DW195" s="31"/>
      <c r="DX195" s="31"/>
      <c r="DY195" s="31"/>
      <c r="DZ195" s="31"/>
      <c r="EA195" s="31"/>
      <c r="EB195" s="31"/>
      <c r="EC195" s="31"/>
      <c r="ED195" s="31"/>
      <c r="EE195" s="31"/>
      <c r="EF195" s="31"/>
      <c r="EG195" s="31"/>
      <c r="EH195" s="31"/>
      <c r="EI195" s="31"/>
      <c r="EJ195" s="28"/>
    </row>
    <row r="196" spans="1:140" s="32" customFormat="1" ht="22.5" customHeight="1">
      <c r="A196" s="59">
        <v>32</v>
      </c>
      <c r="B196" s="52" t="s">
        <v>1473</v>
      </c>
      <c r="C196" s="51" t="s">
        <v>1525</v>
      </c>
      <c r="D196" s="50"/>
      <c r="E196" s="80" t="s">
        <v>1526</v>
      </c>
      <c r="F196" s="52" t="s">
        <v>1491</v>
      </c>
      <c r="G196" s="141">
        <f>3800*6*0.85</f>
        <v>19380</v>
      </c>
      <c r="H196" s="52"/>
      <c r="I196" s="89"/>
      <c r="J196" s="52"/>
      <c r="K196" s="8"/>
      <c r="L196" s="29">
        <f t="shared" si="100"/>
        <v>19380</v>
      </c>
      <c r="M196" s="29">
        <f t="shared" si="101"/>
        <v>19380</v>
      </c>
      <c r="N196" s="29">
        <f t="shared" si="93"/>
        <v>0</v>
      </c>
      <c r="O196" s="29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>
        <f>3800*0.85</f>
        <v>3230</v>
      </c>
      <c r="BG196" s="31">
        <f t="shared" ref="BG196:BK196" si="105">3800*0.85</f>
        <v>3230</v>
      </c>
      <c r="BH196" s="31">
        <f t="shared" si="105"/>
        <v>3230</v>
      </c>
      <c r="BI196" s="31">
        <f t="shared" si="105"/>
        <v>3230</v>
      </c>
      <c r="BJ196" s="31">
        <f t="shared" si="105"/>
        <v>3230</v>
      </c>
      <c r="BK196" s="31">
        <f t="shared" si="105"/>
        <v>3230</v>
      </c>
      <c r="BL196" s="39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180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182"/>
      <c r="DM196" s="182"/>
      <c r="DN196" s="182"/>
      <c r="DO196" s="182"/>
      <c r="DP196" s="182"/>
      <c r="DQ196" s="182"/>
      <c r="DR196" s="31"/>
      <c r="DS196" s="31"/>
      <c r="DT196" s="31"/>
      <c r="DU196" s="31"/>
      <c r="DV196" s="31"/>
      <c r="DW196" s="31"/>
      <c r="DX196" s="31"/>
      <c r="DY196" s="31"/>
      <c r="DZ196" s="31"/>
      <c r="EA196" s="31"/>
      <c r="EB196" s="31"/>
      <c r="EC196" s="31"/>
      <c r="ED196" s="31"/>
      <c r="EE196" s="31"/>
      <c r="EF196" s="31"/>
      <c r="EG196" s="31"/>
      <c r="EH196" s="31"/>
      <c r="EI196" s="31"/>
      <c r="EJ196" s="28"/>
    </row>
    <row r="197" spans="1:140" s="32" customFormat="1" ht="22.5" customHeight="1">
      <c r="A197" s="59">
        <v>33</v>
      </c>
      <c r="B197" s="52" t="s">
        <v>1473</v>
      </c>
      <c r="C197" s="51" t="s">
        <v>1527</v>
      </c>
      <c r="D197" s="50">
        <f>1200+800</f>
        <v>2000</v>
      </c>
      <c r="E197" s="80" t="s">
        <v>1528</v>
      </c>
      <c r="F197" s="52" t="s">
        <v>1529</v>
      </c>
      <c r="G197" s="141">
        <f>3800*8*0.85</f>
        <v>25840</v>
      </c>
      <c r="H197" s="52" t="s">
        <v>1529</v>
      </c>
      <c r="I197" s="89">
        <f>400*8</f>
        <v>3200</v>
      </c>
      <c r="J197" s="52"/>
      <c r="K197" s="8"/>
      <c r="L197" s="29">
        <f t="shared" si="100"/>
        <v>31040</v>
      </c>
      <c r="M197" s="29">
        <f t="shared" si="101"/>
        <v>26640</v>
      </c>
      <c r="N197" s="29">
        <f t="shared" si="93"/>
        <v>4400</v>
      </c>
      <c r="O197" s="29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>
        <f>3800*0.85</f>
        <v>3230</v>
      </c>
      <c r="AY197" s="31">
        <f t="shared" ref="AY197:BE197" si="106">3800*0.85</f>
        <v>3230</v>
      </c>
      <c r="AZ197" s="31">
        <f t="shared" si="106"/>
        <v>3230</v>
      </c>
      <c r="BA197" s="31">
        <f t="shared" si="106"/>
        <v>3230</v>
      </c>
      <c r="BB197" s="31">
        <f t="shared" si="106"/>
        <v>3230</v>
      </c>
      <c r="BC197" s="31">
        <f t="shared" si="106"/>
        <v>3230</v>
      </c>
      <c r="BD197" s="31">
        <f t="shared" si="106"/>
        <v>3230</v>
      </c>
      <c r="BE197" s="31">
        <f t="shared" si="106"/>
        <v>3230</v>
      </c>
      <c r="BF197" s="31"/>
      <c r="BG197" s="31"/>
      <c r="BH197" s="31"/>
      <c r="BI197" s="31"/>
      <c r="BJ197" s="31"/>
      <c r="BK197" s="31"/>
      <c r="BL197" s="39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>
        <f>400</f>
        <v>400</v>
      </c>
      <c r="CW197" s="31">
        <f>400</f>
        <v>400</v>
      </c>
      <c r="CX197" s="180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182"/>
      <c r="DM197" s="182"/>
      <c r="DN197" s="182"/>
      <c r="DO197" s="182"/>
      <c r="DP197" s="182"/>
      <c r="DQ197" s="182"/>
      <c r="DR197" s="31"/>
      <c r="DS197" s="31"/>
      <c r="DT197" s="31"/>
      <c r="DU197" s="31"/>
      <c r="DV197" s="31"/>
      <c r="DW197" s="31"/>
      <c r="DX197" s="31"/>
      <c r="DY197" s="31"/>
      <c r="DZ197" s="31"/>
      <c r="EA197" s="31"/>
      <c r="EB197" s="31"/>
      <c r="EC197" s="31"/>
      <c r="ED197" s="31"/>
      <c r="EE197" s="31"/>
      <c r="EF197" s="31"/>
      <c r="EG197" s="31"/>
      <c r="EH197" s="31"/>
      <c r="EI197" s="31"/>
      <c r="EJ197" s="28"/>
    </row>
    <row r="198" spans="1:140" s="32" customFormat="1" ht="22.5" customHeight="1">
      <c r="A198" s="59">
        <v>34</v>
      </c>
      <c r="B198" s="52" t="s">
        <v>1473</v>
      </c>
      <c r="C198" s="51" t="s">
        <v>1530</v>
      </c>
      <c r="D198" s="50"/>
      <c r="E198" s="80" t="s">
        <v>1531</v>
      </c>
      <c r="F198" s="52" t="s">
        <v>1481</v>
      </c>
      <c r="G198" s="141">
        <f>5000*6*0.7</f>
        <v>21000</v>
      </c>
      <c r="H198" s="52"/>
      <c r="I198" s="89"/>
      <c r="J198" s="52"/>
      <c r="K198" s="8"/>
      <c r="L198" s="29">
        <f t="shared" si="100"/>
        <v>21000</v>
      </c>
      <c r="M198" s="29">
        <f t="shared" si="101"/>
        <v>21000</v>
      </c>
      <c r="N198" s="29">
        <f t="shared" si="93"/>
        <v>0</v>
      </c>
      <c r="O198" s="29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>
        <f>5000*0.7</f>
        <v>3500</v>
      </c>
      <c r="BA198" s="31">
        <f t="shared" ref="BA198:BE198" si="107">5000*0.7</f>
        <v>3500</v>
      </c>
      <c r="BB198" s="31">
        <f t="shared" si="107"/>
        <v>3500</v>
      </c>
      <c r="BC198" s="31">
        <f t="shared" si="107"/>
        <v>3500</v>
      </c>
      <c r="BD198" s="31">
        <f t="shared" si="107"/>
        <v>3500</v>
      </c>
      <c r="BE198" s="31">
        <f t="shared" si="107"/>
        <v>3500</v>
      </c>
      <c r="BF198" s="31"/>
      <c r="BG198" s="31"/>
      <c r="BH198" s="31"/>
      <c r="BI198" s="31"/>
      <c r="BJ198" s="31"/>
      <c r="BK198" s="31"/>
      <c r="BL198" s="39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180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182"/>
      <c r="DM198" s="182"/>
      <c r="DN198" s="182"/>
      <c r="DO198" s="182"/>
      <c r="DP198" s="182"/>
      <c r="DQ198" s="182"/>
      <c r="DR198" s="31"/>
      <c r="DS198" s="31"/>
      <c r="DT198" s="31"/>
      <c r="DU198" s="31"/>
      <c r="DV198" s="31"/>
      <c r="DW198" s="31"/>
      <c r="DX198" s="31"/>
      <c r="DY198" s="31"/>
      <c r="DZ198" s="31"/>
      <c r="EA198" s="31"/>
      <c r="EB198" s="31"/>
      <c r="EC198" s="31"/>
      <c r="ED198" s="31"/>
      <c r="EE198" s="31"/>
      <c r="EF198" s="31"/>
      <c r="EG198" s="31"/>
      <c r="EH198" s="31"/>
      <c r="EI198" s="31"/>
      <c r="EJ198" s="28"/>
    </row>
    <row r="199" spans="1:140" s="32" customFormat="1" ht="22.5" customHeight="1">
      <c r="A199" s="59">
        <v>35</v>
      </c>
      <c r="B199" s="52" t="s">
        <v>1473</v>
      </c>
      <c r="C199" s="51" t="s">
        <v>1532</v>
      </c>
      <c r="D199" s="50">
        <f>1200+480</f>
        <v>1680</v>
      </c>
      <c r="E199" s="80" t="s">
        <v>1517</v>
      </c>
      <c r="F199" s="52" t="s">
        <v>1505</v>
      </c>
      <c r="G199" s="141">
        <f>3800*3*0.85-3230</f>
        <v>6460</v>
      </c>
      <c r="H199" s="52" t="s">
        <v>1505</v>
      </c>
      <c r="I199" s="89">
        <f>400*3-400</f>
        <v>800</v>
      </c>
      <c r="J199" s="52"/>
      <c r="K199" s="8"/>
      <c r="L199" s="29">
        <f>D199+G199+I199+K199</f>
        <v>8940</v>
      </c>
      <c r="M199" s="29">
        <f t="shared" ref="M199" si="108">SUM(O199:EI199)</f>
        <v>7260</v>
      </c>
      <c r="N199" s="29">
        <f t="shared" si="93"/>
        <v>1680</v>
      </c>
      <c r="O199" s="29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>
        <f>3800*0.85-3230</f>
        <v>0</v>
      </c>
      <c r="AX199" s="31">
        <f t="shared" ref="AX199:AY199" si="109">3800*0.85</f>
        <v>3230</v>
      </c>
      <c r="AY199" s="31">
        <f t="shared" si="109"/>
        <v>3230</v>
      </c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9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>
        <f>400-400</f>
        <v>0</v>
      </c>
      <c r="CV199" s="31">
        <v>400</v>
      </c>
      <c r="CW199" s="31">
        <v>400</v>
      </c>
      <c r="CX199" s="180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182"/>
      <c r="DM199" s="182"/>
      <c r="DN199" s="182"/>
      <c r="DO199" s="182"/>
      <c r="DP199" s="182"/>
      <c r="DQ199" s="182"/>
      <c r="DR199" s="31"/>
      <c r="DS199" s="31"/>
      <c r="DT199" s="31"/>
      <c r="DU199" s="31"/>
      <c r="DV199" s="31"/>
      <c r="DW199" s="31"/>
      <c r="DX199" s="31"/>
      <c r="DY199" s="31"/>
      <c r="DZ199" s="31"/>
      <c r="EA199" s="31"/>
      <c r="EB199" s="31"/>
      <c r="EC199" s="31"/>
      <c r="ED199" s="31"/>
      <c r="EE199" s="31"/>
      <c r="EF199" s="31"/>
      <c r="EG199" s="31"/>
      <c r="EH199" s="31"/>
      <c r="EI199" s="31"/>
      <c r="EJ199" s="28"/>
    </row>
    <row r="200" spans="1:140" s="67" customFormat="1" ht="18.75" customHeight="1">
      <c r="A200" s="61"/>
      <c r="B200" s="61"/>
      <c r="C200" s="63"/>
      <c r="D200" s="88"/>
      <c r="E200" s="82"/>
      <c r="F200" s="61"/>
      <c r="G200" s="143"/>
      <c r="H200" s="61"/>
      <c r="I200" s="99"/>
      <c r="J200" s="61"/>
      <c r="K200" s="64"/>
      <c r="L200" s="64"/>
      <c r="M200" s="64"/>
      <c r="N200" s="64"/>
      <c r="O200" s="65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66"/>
      <c r="CN200" s="66"/>
      <c r="CO200" s="66"/>
      <c r="CP200" s="66"/>
      <c r="CQ200" s="66"/>
      <c r="CR200" s="66"/>
      <c r="CS200" s="66"/>
      <c r="CT200" s="66"/>
      <c r="CU200" s="66"/>
      <c r="CV200" s="66"/>
      <c r="CW200" s="66"/>
      <c r="CX200" s="184"/>
      <c r="CY200" s="66"/>
      <c r="CZ200" s="66"/>
      <c r="DA200" s="66"/>
      <c r="DB200" s="66"/>
      <c r="DC200" s="66"/>
      <c r="DD200" s="66"/>
      <c r="DE200" s="66"/>
      <c r="DF200" s="66"/>
      <c r="DG200" s="66"/>
      <c r="DH200" s="66"/>
      <c r="DI200" s="66"/>
      <c r="DJ200" s="66"/>
      <c r="DK200" s="66"/>
      <c r="DL200" s="185"/>
      <c r="DM200" s="185"/>
      <c r="DN200" s="185"/>
      <c r="DO200" s="185"/>
      <c r="DP200" s="185"/>
      <c r="DQ200" s="185"/>
      <c r="DR200" s="66"/>
      <c r="DS200" s="66"/>
      <c r="DT200" s="66"/>
      <c r="DU200" s="66"/>
      <c r="DV200" s="66"/>
      <c r="DW200" s="66"/>
      <c r="DX200" s="66"/>
      <c r="DY200" s="66"/>
      <c r="DZ200" s="66"/>
      <c r="EA200" s="66"/>
      <c r="EB200" s="66"/>
      <c r="EC200" s="66"/>
      <c r="ED200" s="31"/>
      <c r="EE200" s="66"/>
      <c r="EF200" s="66"/>
      <c r="EG200" s="66"/>
      <c r="EH200" s="66"/>
      <c r="EI200" s="66"/>
      <c r="EJ200" s="62"/>
    </row>
    <row r="201" spans="1:140" ht="18" customHeight="1">
      <c r="A201" s="59">
        <v>1</v>
      </c>
      <c r="B201" s="59" t="s">
        <v>1533</v>
      </c>
      <c r="C201" s="68" t="s">
        <v>1534</v>
      </c>
      <c r="D201" s="50">
        <v>1500</v>
      </c>
      <c r="E201" s="79">
        <v>40787</v>
      </c>
      <c r="F201" s="59" t="s">
        <v>1535</v>
      </c>
      <c r="G201" s="138">
        <f>3500*6+2000*4</f>
        <v>29000</v>
      </c>
      <c r="H201" s="52" t="s">
        <v>1535</v>
      </c>
      <c r="I201" s="89">
        <f>660*6+360*4</f>
        <v>5400</v>
      </c>
      <c r="J201" s="52"/>
      <c r="K201" s="8"/>
      <c r="L201" s="8">
        <f t="shared" ref="L201:L264" si="110">D201+G201+I201+K201</f>
        <v>35900</v>
      </c>
      <c r="M201" s="29">
        <f t="shared" ref="M201:M239" si="111">SUM(O201:DS201)</f>
        <v>34400</v>
      </c>
      <c r="N201" s="29">
        <f t="shared" ref="N201:N264" si="112">L201-M201</f>
        <v>1500</v>
      </c>
      <c r="O201" s="8">
        <v>3500</v>
      </c>
      <c r="P201" s="8">
        <v>3500</v>
      </c>
      <c r="Q201" s="8">
        <v>3500</v>
      </c>
      <c r="R201" s="8">
        <v>3500</v>
      </c>
      <c r="S201" s="8">
        <v>3500</v>
      </c>
      <c r="T201" s="8">
        <v>3500</v>
      </c>
      <c r="U201" s="8"/>
      <c r="V201" s="8"/>
      <c r="W201" s="8">
        <v>1000</v>
      </c>
      <c r="X201" s="8">
        <v>1000</v>
      </c>
      <c r="Y201" s="8">
        <v>2000</v>
      </c>
      <c r="Z201" s="8">
        <v>2000</v>
      </c>
      <c r="AA201" s="8">
        <v>2000</v>
      </c>
      <c r="AB201" s="8"/>
      <c r="AC201" s="8"/>
      <c r="AD201" s="29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38"/>
      <c r="BM201" s="8">
        <v>660</v>
      </c>
      <c r="BN201" s="8">
        <v>660</v>
      </c>
      <c r="BO201" s="8">
        <v>660</v>
      </c>
      <c r="BP201" s="8">
        <v>660</v>
      </c>
      <c r="BQ201" s="8">
        <v>660</v>
      </c>
      <c r="BR201" s="8">
        <v>660</v>
      </c>
      <c r="BS201" s="8"/>
      <c r="BT201" s="8"/>
      <c r="BU201" s="8">
        <v>180</v>
      </c>
      <c r="BV201" s="8">
        <v>180</v>
      </c>
      <c r="BW201" s="8">
        <v>360</v>
      </c>
      <c r="BX201" s="8">
        <v>360</v>
      </c>
      <c r="BY201" s="8">
        <v>360</v>
      </c>
      <c r="BZ201" s="8"/>
      <c r="CA201" s="29"/>
      <c r="CB201" s="29"/>
      <c r="CC201" s="29"/>
      <c r="CD201" s="8"/>
      <c r="CE201" s="8"/>
      <c r="CF201" s="8"/>
      <c r="CG201" s="8"/>
      <c r="CH201" s="8"/>
      <c r="CI201" s="8"/>
      <c r="CJ201" s="8"/>
      <c r="CK201" s="29"/>
      <c r="CL201" s="29"/>
      <c r="CM201" s="29"/>
      <c r="CN201" s="29"/>
      <c r="CO201" s="8"/>
      <c r="CP201" s="8"/>
      <c r="CQ201" s="8"/>
      <c r="CR201" s="8"/>
      <c r="CS201" s="8"/>
      <c r="CT201" s="8"/>
      <c r="CU201" s="8"/>
      <c r="CV201" s="8"/>
      <c r="CW201" s="8"/>
      <c r="CX201" s="17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179"/>
      <c r="DM201" s="179"/>
      <c r="DN201" s="179"/>
      <c r="DO201" s="179"/>
      <c r="DP201" s="179"/>
      <c r="DQ201" s="179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29"/>
      <c r="EE201" s="8"/>
      <c r="EF201" s="8"/>
      <c r="EG201" s="8"/>
      <c r="EH201" s="8"/>
      <c r="EI201" s="8"/>
      <c r="EJ201" s="23"/>
    </row>
    <row r="202" spans="1:140" ht="18" customHeight="1">
      <c r="A202" s="59">
        <v>2</v>
      </c>
      <c r="B202" s="59" t="s">
        <v>1533</v>
      </c>
      <c r="C202" s="51" t="s">
        <v>1536</v>
      </c>
      <c r="D202" s="50">
        <v>1500</v>
      </c>
      <c r="E202" s="79">
        <v>40789</v>
      </c>
      <c r="F202" s="59" t="s">
        <v>462</v>
      </c>
      <c r="G202" s="138">
        <f>37800-8050-3776-2000</f>
        <v>23974</v>
      </c>
      <c r="H202" s="52" t="s">
        <v>1535</v>
      </c>
      <c r="I202" s="89">
        <f>3960-300-810+2160-360</f>
        <v>4650</v>
      </c>
      <c r="J202" s="52"/>
      <c r="K202" s="8"/>
      <c r="L202" s="8">
        <f t="shared" si="110"/>
        <v>30124</v>
      </c>
      <c r="M202" s="29">
        <f t="shared" si="111"/>
        <v>29060</v>
      </c>
      <c r="N202" s="29">
        <f t="shared" si="112"/>
        <v>1064</v>
      </c>
      <c r="O202" s="8">
        <v>3150</v>
      </c>
      <c r="P202" s="8">
        <v>3150</v>
      </c>
      <c r="Q202" s="8">
        <v>3150</v>
      </c>
      <c r="R202" s="8">
        <v>3150</v>
      </c>
      <c r="S202" s="8"/>
      <c r="T202" s="8">
        <v>1374</v>
      </c>
      <c r="U202" s="8">
        <v>2000</v>
      </c>
      <c r="V202" s="8">
        <v>2000</v>
      </c>
      <c r="W202" s="8">
        <v>1000</v>
      </c>
      <c r="X202" s="8">
        <v>1000</v>
      </c>
      <c r="Y202" s="8">
        <v>2000</v>
      </c>
      <c r="Z202" s="8">
        <v>2000</v>
      </c>
      <c r="AA202" s="8">
        <f>2000-1700</f>
        <v>300</v>
      </c>
      <c r="AB202" s="8"/>
      <c r="AC202" s="8"/>
      <c r="AD202" s="29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38"/>
      <c r="BM202" s="8">
        <v>660</v>
      </c>
      <c r="BN202" s="8">
        <v>660</v>
      </c>
      <c r="BO202" s="8">
        <v>660</v>
      </c>
      <c r="BP202" s="8">
        <v>660</v>
      </c>
      <c r="BQ202" s="8"/>
      <c r="BR202" s="8">
        <v>210</v>
      </c>
      <c r="BS202" s="8">
        <v>360</v>
      </c>
      <c r="BT202" s="8">
        <v>360</v>
      </c>
      <c r="BU202" s="8">
        <v>180</v>
      </c>
      <c r="BV202" s="8">
        <f>180-32</f>
        <v>148</v>
      </c>
      <c r="BW202" s="8">
        <f>360-80</f>
        <v>280</v>
      </c>
      <c r="BX202" s="8">
        <f>360-112</f>
        <v>248</v>
      </c>
      <c r="BY202" s="8">
        <v>360</v>
      </c>
      <c r="BZ202" s="8"/>
      <c r="CA202" s="29"/>
      <c r="CB202" s="29"/>
      <c r="CC202" s="29"/>
      <c r="CD202" s="8"/>
      <c r="CE202" s="8"/>
      <c r="CF202" s="8"/>
      <c r="CG202" s="8"/>
      <c r="CH202" s="8"/>
      <c r="CI202" s="8"/>
      <c r="CJ202" s="8"/>
      <c r="CK202" s="29"/>
      <c r="CL202" s="29"/>
      <c r="CM202" s="29"/>
      <c r="CN202" s="29"/>
      <c r="CO202" s="8"/>
      <c r="CP202" s="8"/>
      <c r="CQ202" s="8"/>
      <c r="CR202" s="8"/>
      <c r="CS202" s="8"/>
      <c r="CT202" s="8"/>
      <c r="CU202" s="8"/>
      <c r="CV202" s="8"/>
      <c r="CW202" s="8"/>
      <c r="CX202" s="17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179"/>
      <c r="DM202" s="179"/>
      <c r="DN202" s="179"/>
      <c r="DO202" s="179"/>
      <c r="DP202" s="179"/>
      <c r="DQ202" s="179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29"/>
      <c r="EE202" s="8"/>
      <c r="EF202" s="8"/>
      <c r="EG202" s="8"/>
      <c r="EH202" s="8"/>
      <c r="EI202" s="8"/>
      <c r="EJ202" s="23"/>
    </row>
    <row r="203" spans="1:140" ht="18" customHeight="1">
      <c r="A203" s="59">
        <v>3</v>
      </c>
      <c r="B203" s="59" t="s">
        <v>1533</v>
      </c>
      <c r="C203" s="68" t="s">
        <v>1537</v>
      </c>
      <c r="D203" s="50">
        <f>1500-472</f>
        <v>1028</v>
      </c>
      <c r="E203" s="79" t="s">
        <v>1538</v>
      </c>
      <c r="F203" s="59" t="s">
        <v>1535</v>
      </c>
      <c r="G203" s="138">
        <f>35122.5-8050-473-2000</f>
        <v>24599.5</v>
      </c>
      <c r="H203" s="52" t="s">
        <v>1535</v>
      </c>
      <c r="I203" s="89">
        <f>3960-300-660+1800</f>
        <v>4800</v>
      </c>
      <c r="J203" s="52" t="s">
        <v>1539</v>
      </c>
      <c r="K203" s="8">
        <f>900-300</f>
        <v>600</v>
      </c>
      <c r="L203" s="8">
        <f t="shared" si="110"/>
        <v>31027.5</v>
      </c>
      <c r="M203" s="29">
        <f t="shared" si="111"/>
        <v>29999.5</v>
      </c>
      <c r="N203" s="29">
        <f t="shared" si="112"/>
        <v>1028</v>
      </c>
      <c r="O203" s="8">
        <v>3150</v>
      </c>
      <c r="P203" s="8">
        <v>3150</v>
      </c>
      <c r="Q203" s="8">
        <v>3150</v>
      </c>
      <c r="R203" s="8">
        <f>3150-0.5</f>
        <v>3149.5</v>
      </c>
      <c r="S203" s="8"/>
      <c r="T203" s="8">
        <v>2000</v>
      </c>
      <c r="U203" s="8">
        <v>2000</v>
      </c>
      <c r="V203" s="8">
        <v>2000</v>
      </c>
      <c r="W203" s="8">
        <v>1000</v>
      </c>
      <c r="X203" s="8">
        <v>1000</v>
      </c>
      <c r="Y203" s="8">
        <v>2000</v>
      </c>
      <c r="Z203" s="8">
        <v>2000</v>
      </c>
      <c r="AA203" s="8"/>
      <c r="AB203" s="8"/>
      <c r="AC203" s="8"/>
      <c r="AD203" s="29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38"/>
      <c r="BM203" s="8">
        <v>660</v>
      </c>
      <c r="BN203" s="8">
        <v>660</v>
      </c>
      <c r="BO203" s="8">
        <v>660</v>
      </c>
      <c r="BP203" s="8">
        <v>660</v>
      </c>
      <c r="BQ203" s="8"/>
      <c r="BR203" s="8">
        <v>360</v>
      </c>
      <c r="BS203" s="8">
        <v>360</v>
      </c>
      <c r="BT203" s="8">
        <v>360</v>
      </c>
      <c r="BU203" s="8">
        <v>180</v>
      </c>
      <c r="BV203" s="8">
        <v>180</v>
      </c>
      <c r="BW203" s="8">
        <v>360</v>
      </c>
      <c r="BX203" s="8">
        <v>360</v>
      </c>
      <c r="BY203" s="8"/>
      <c r="BZ203" s="8"/>
      <c r="CA203" s="29"/>
      <c r="CB203" s="29"/>
      <c r="CC203" s="29"/>
      <c r="CD203" s="8"/>
      <c r="CE203" s="8"/>
      <c r="CF203" s="8"/>
      <c r="CG203" s="8"/>
      <c r="CH203" s="8"/>
      <c r="CI203" s="8"/>
      <c r="CJ203" s="8"/>
      <c r="CK203" s="29"/>
      <c r="CL203" s="29"/>
      <c r="CM203" s="29"/>
      <c r="CN203" s="29"/>
      <c r="CO203" s="8"/>
      <c r="CP203" s="8"/>
      <c r="CQ203" s="8"/>
      <c r="CR203" s="8"/>
      <c r="CS203" s="8"/>
      <c r="CT203" s="8"/>
      <c r="CU203" s="8"/>
      <c r="CV203" s="8"/>
      <c r="CW203" s="8"/>
      <c r="CX203" s="178"/>
      <c r="CY203" s="8"/>
      <c r="CZ203" s="8"/>
      <c r="DA203" s="8"/>
      <c r="DB203" s="8">
        <v>300</v>
      </c>
      <c r="DC203" s="8">
        <v>300</v>
      </c>
      <c r="DD203" s="8"/>
      <c r="DE203" s="8"/>
      <c r="DF203" s="8"/>
      <c r="DG203" s="8"/>
      <c r="DH203" s="8"/>
      <c r="DI203" s="8"/>
      <c r="DJ203" s="8"/>
      <c r="DK203" s="8"/>
      <c r="DL203" s="179"/>
      <c r="DM203" s="179"/>
      <c r="DN203" s="179"/>
      <c r="DO203" s="179"/>
      <c r="DP203" s="179"/>
      <c r="DQ203" s="179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29"/>
      <c r="EE203" s="8"/>
      <c r="EF203" s="8"/>
      <c r="EG203" s="8"/>
      <c r="EH203" s="8"/>
      <c r="EI203" s="8"/>
      <c r="EJ203" s="23"/>
    </row>
    <row r="204" spans="1:140" ht="18" customHeight="1">
      <c r="A204" s="59">
        <v>4</v>
      </c>
      <c r="B204" s="59" t="s">
        <v>1533</v>
      </c>
      <c r="C204" s="50" t="s">
        <v>467</v>
      </c>
      <c r="D204" s="50">
        <v>1500</v>
      </c>
      <c r="E204" s="79" t="s">
        <v>1540</v>
      </c>
      <c r="F204" s="59" t="s">
        <v>1541</v>
      </c>
      <c r="G204" s="138">
        <f>37800-8050-7150</f>
        <v>22600</v>
      </c>
      <c r="H204" s="52" t="s">
        <v>1541</v>
      </c>
      <c r="I204" s="89">
        <f>7920-2100-1579-162</f>
        <v>4079</v>
      </c>
      <c r="J204" s="52" t="s">
        <v>1539</v>
      </c>
      <c r="K204" s="8">
        <f>900-300</f>
        <v>600</v>
      </c>
      <c r="L204" s="8">
        <f t="shared" si="110"/>
        <v>28779</v>
      </c>
      <c r="M204" s="29">
        <f t="shared" si="111"/>
        <v>24919</v>
      </c>
      <c r="N204" s="29">
        <f t="shared" si="112"/>
        <v>3860</v>
      </c>
      <c r="O204" s="8">
        <v>3150</v>
      </c>
      <c r="P204" s="8">
        <v>3150</v>
      </c>
      <c r="Q204" s="8">
        <v>3150</v>
      </c>
      <c r="R204" s="8">
        <v>3150</v>
      </c>
      <c r="S204" s="8"/>
      <c r="T204" s="8">
        <v>2000</v>
      </c>
      <c r="U204" s="8">
        <v>2000</v>
      </c>
      <c r="V204" s="8">
        <v>2000</v>
      </c>
      <c r="W204" s="8"/>
      <c r="X204" s="8"/>
      <c r="Y204" s="8">
        <v>2000</v>
      </c>
      <c r="Z204" s="8"/>
      <c r="AA204" s="8"/>
      <c r="AB204" s="8"/>
      <c r="AC204" s="8"/>
      <c r="AD204" s="29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38"/>
      <c r="BM204" s="8">
        <v>660</v>
      </c>
      <c r="BN204" s="8">
        <v>660</v>
      </c>
      <c r="BO204" s="8">
        <f>660-150</f>
        <v>510</v>
      </c>
      <c r="BP204" s="8">
        <v>660</v>
      </c>
      <c r="BQ204" s="8"/>
      <c r="BR204" s="8">
        <f>360-49</f>
        <v>311</v>
      </c>
      <c r="BS204" s="8">
        <v>360</v>
      </c>
      <c r="BT204" s="8">
        <v>360</v>
      </c>
      <c r="BU204" s="8"/>
      <c r="BV204" s="8"/>
      <c r="BW204" s="8">
        <f>360-162</f>
        <v>198</v>
      </c>
      <c r="BX204" s="8"/>
      <c r="BY204" s="8"/>
      <c r="BZ204" s="8"/>
      <c r="CA204" s="29"/>
      <c r="CB204" s="29"/>
      <c r="CC204" s="29"/>
      <c r="CD204" s="8"/>
      <c r="CE204" s="8"/>
      <c r="CF204" s="8"/>
      <c r="CG204" s="8"/>
      <c r="CH204" s="8"/>
      <c r="CI204" s="8"/>
      <c r="CJ204" s="8"/>
      <c r="CK204" s="29"/>
      <c r="CL204" s="29"/>
      <c r="CM204" s="29"/>
      <c r="CN204" s="29"/>
      <c r="CO204" s="8"/>
      <c r="CP204" s="8"/>
      <c r="CQ204" s="8"/>
      <c r="CR204" s="8"/>
      <c r="CS204" s="8"/>
      <c r="CT204" s="8"/>
      <c r="CU204" s="8"/>
      <c r="CV204" s="8"/>
      <c r="CW204" s="8"/>
      <c r="CX204" s="178"/>
      <c r="CY204" s="8"/>
      <c r="CZ204" s="8"/>
      <c r="DA204" s="8"/>
      <c r="DB204" s="8">
        <v>300</v>
      </c>
      <c r="DC204" s="8">
        <v>300</v>
      </c>
      <c r="DD204" s="8"/>
      <c r="DE204" s="8"/>
      <c r="DF204" s="8"/>
      <c r="DG204" s="8"/>
      <c r="DH204" s="8"/>
      <c r="DI204" s="8"/>
      <c r="DJ204" s="8"/>
      <c r="DK204" s="8"/>
      <c r="DL204" s="179"/>
      <c r="DM204" s="179"/>
      <c r="DN204" s="179"/>
      <c r="DO204" s="179"/>
      <c r="DP204" s="179"/>
      <c r="DQ204" s="179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29"/>
      <c r="EE204" s="8"/>
      <c r="EF204" s="8"/>
      <c r="EG204" s="8"/>
      <c r="EH204" s="8"/>
      <c r="EI204" s="8"/>
      <c r="EJ204" s="23"/>
    </row>
    <row r="205" spans="1:140" ht="18" customHeight="1">
      <c r="A205" s="59">
        <v>5</v>
      </c>
      <c r="B205" s="59" t="s">
        <v>1533</v>
      </c>
      <c r="C205" s="50" t="s">
        <v>468</v>
      </c>
      <c r="D205" s="50">
        <v>1500</v>
      </c>
      <c r="E205" s="79" t="s">
        <v>1540</v>
      </c>
      <c r="F205" s="59" t="s">
        <v>1541</v>
      </c>
      <c r="G205" s="138">
        <f>37800-8050-7150</f>
        <v>22600</v>
      </c>
      <c r="H205" s="52" t="s">
        <v>1541</v>
      </c>
      <c r="I205" s="89">
        <f>7920-2100-1426-162</f>
        <v>4232</v>
      </c>
      <c r="J205" s="52" t="s">
        <v>1539</v>
      </c>
      <c r="K205" s="8">
        <f>900-300</f>
        <v>600</v>
      </c>
      <c r="L205" s="8">
        <f t="shared" si="110"/>
        <v>28932</v>
      </c>
      <c r="M205" s="29">
        <f t="shared" si="111"/>
        <v>25072</v>
      </c>
      <c r="N205" s="29">
        <f t="shared" si="112"/>
        <v>3860</v>
      </c>
      <c r="O205" s="8">
        <v>3150</v>
      </c>
      <c r="P205" s="8">
        <v>3150</v>
      </c>
      <c r="Q205" s="8">
        <v>3150</v>
      </c>
      <c r="R205" s="8">
        <v>3150</v>
      </c>
      <c r="S205" s="8"/>
      <c r="T205" s="8">
        <v>2000</v>
      </c>
      <c r="U205" s="8">
        <v>2000</v>
      </c>
      <c r="V205" s="8">
        <v>2000</v>
      </c>
      <c r="W205" s="8"/>
      <c r="X205" s="8"/>
      <c r="Y205" s="8">
        <v>2000</v>
      </c>
      <c r="Z205" s="8"/>
      <c r="AA205" s="8"/>
      <c r="AB205" s="8"/>
      <c r="AC205" s="8"/>
      <c r="AD205" s="29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38"/>
      <c r="BM205" s="8">
        <v>660</v>
      </c>
      <c r="BN205" s="8">
        <v>660</v>
      </c>
      <c r="BO205" s="8">
        <v>660</v>
      </c>
      <c r="BP205" s="8">
        <v>660</v>
      </c>
      <c r="BQ205" s="8"/>
      <c r="BR205" s="8">
        <v>314</v>
      </c>
      <c r="BS205" s="8">
        <v>360</v>
      </c>
      <c r="BT205" s="8">
        <v>360</v>
      </c>
      <c r="BU205" s="8"/>
      <c r="BV205" s="8"/>
      <c r="BW205" s="8">
        <f>360-162</f>
        <v>198</v>
      </c>
      <c r="BX205" s="8"/>
      <c r="BY205" s="8"/>
      <c r="BZ205" s="8"/>
      <c r="CA205" s="29"/>
      <c r="CB205" s="29"/>
      <c r="CC205" s="29"/>
      <c r="CD205" s="8"/>
      <c r="CE205" s="8"/>
      <c r="CF205" s="8"/>
      <c r="CG205" s="8"/>
      <c r="CH205" s="8"/>
      <c r="CI205" s="8"/>
      <c r="CJ205" s="8"/>
      <c r="CK205" s="29"/>
      <c r="CL205" s="29"/>
      <c r="CM205" s="29"/>
      <c r="CN205" s="29"/>
      <c r="CO205" s="8"/>
      <c r="CP205" s="8"/>
      <c r="CQ205" s="8"/>
      <c r="CR205" s="8"/>
      <c r="CS205" s="8"/>
      <c r="CT205" s="8"/>
      <c r="CU205" s="8"/>
      <c r="CV205" s="8"/>
      <c r="CW205" s="8"/>
      <c r="CX205" s="178"/>
      <c r="CY205" s="8"/>
      <c r="CZ205" s="8"/>
      <c r="DA205" s="8"/>
      <c r="DB205" s="8">
        <v>300</v>
      </c>
      <c r="DC205" s="8">
        <v>300</v>
      </c>
      <c r="DD205" s="8"/>
      <c r="DE205" s="8"/>
      <c r="DF205" s="8"/>
      <c r="DG205" s="8"/>
      <c r="DH205" s="8"/>
      <c r="DI205" s="8"/>
      <c r="DJ205" s="8"/>
      <c r="DK205" s="8"/>
      <c r="DL205" s="179"/>
      <c r="DM205" s="179"/>
      <c r="DN205" s="179"/>
      <c r="DO205" s="179"/>
      <c r="DP205" s="179"/>
      <c r="DQ205" s="179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29"/>
      <c r="EE205" s="8"/>
      <c r="EF205" s="8"/>
      <c r="EG205" s="8"/>
      <c r="EH205" s="8"/>
      <c r="EI205" s="8"/>
      <c r="EJ205" s="23"/>
    </row>
    <row r="206" spans="1:140" ht="18" customHeight="1">
      <c r="A206" s="59">
        <v>6</v>
      </c>
      <c r="B206" s="59" t="s">
        <v>1533</v>
      </c>
      <c r="C206" s="51" t="s">
        <v>474</v>
      </c>
      <c r="D206" s="50">
        <f>1500-220</f>
        <v>1280</v>
      </c>
      <c r="E206" s="79">
        <v>40872</v>
      </c>
      <c r="F206" s="59" t="s">
        <v>1542</v>
      </c>
      <c r="G206" s="138">
        <f>28350-8050-3575</f>
        <v>16725</v>
      </c>
      <c r="H206" s="52" t="s">
        <v>1542</v>
      </c>
      <c r="I206" s="89">
        <f>1980-300-690+2160-216</f>
        <v>2934</v>
      </c>
      <c r="J206" s="52"/>
      <c r="K206" s="8"/>
      <c r="L206" s="8">
        <f t="shared" si="110"/>
        <v>20939</v>
      </c>
      <c r="M206" s="29">
        <f t="shared" si="111"/>
        <v>19659</v>
      </c>
      <c r="N206" s="29">
        <f t="shared" si="112"/>
        <v>1280</v>
      </c>
      <c r="O206" s="8"/>
      <c r="P206" s="8"/>
      <c r="Q206" s="8"/>
      <c r="R206" s="8">
        <v>3150</v>
      </c>
      <c r="S206" s="8">
        <v>1575</v>
      </c>
      <c r="T206" s="8">
        <v>2000</v>
      </c>
      <c r="U206" s="8">
        <v>2000</v>
      </c>
      <c r="V206" s="8">
        <v>2000</v>
      </c>
      <c r="W206" s="8">
        <v>1000</v>
      </c>
      <c r="X206" s="8">
        <v>1000</v>
      </c>
      <c r="Y206" s="8">
        <v>2000</v>
      </c>
      <c r="Z206" s="8">
        <v>2000</v>
      </c>
      <c r="AA206" s="8"/>
      <c r="AB206" s="8"/>
      <c r="AC206" s="8"/>
      <c r="AD206" s="29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38"/>
      <c r="BM206" s="8"/>
      <c r="BN206" s="8"/>
      <c r="BO206" s="8"/>
      <c r="BP206" s="8">
        <v>660</v>
      </c>
      <c r="BQ206" s="8">
        <v>330</v>
      </c>
      <c r="BR206" s="8">
        <v>360</v>
      </c>
      <c r="BS206" s="8">
        <v>360</v>
      </c>
      <c r="BT206" s="8">
        <v>360</v>
      </c>
      <c r="BU206" s="8">
        <v>180</v>
      </c>
      <c r="BV206" s="8">
        <v>180</v>
      </c>
      <c r="BW206" s="8">
        <f>360-72</f>
        <v>288</v>
      </c>
      <c r="BX206" s="8">
        <f>360-144</f>
        <v>216</v>
      </c>
      <c r="BY206" s="8"/>
      <c r="BZ206" s="8"/>
      <c r="CA206" s="29"/>
      <c r="CB206" s="29"/>
      <c r="CC206" s="29"/>
      <c r="CD206" s="8"/>
      <c r="CE206" s="8"/>
      <c r="CF206" s="8"/>
      <c r="CG206" s="8"/>
      <c r="CH206" s="8"/>
      <c r="CI206" s="8"/>
      <c r="CJ206" s="8"/>
      <c r="CK206" s="29"/>
      <c r="CL206" s="29"/>
      <c r="CM206" s="29"/>
      <c r="CN206" s="29"/>
      <c r="CO206" s="8"/>
      <c r="CP206" s="8"/>
      <c r="CQ206" s="8"/>
      <c r="CR206" s="8"/>
      <c r="CS206" s="8"/>
      <c r="CT206" s="8"/>
      <c r="CU206" s="8"/>
      <c r="CV206" s="8"/>
      <c r="CW206" s="8"/>
      <c r="CX206" s="17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179"/>
      <c r="DM206" s="179"/>
      <c r="DN206" s="179"/>
      <c r="DO206" s="179"/>
      <c r="DP206" s="179"/>
      <c r="DQ206" s="179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29"/>
      <c r="EE206" s="8"/>
      <c r="EF206" s="8"/>
      <c r="EG206" s="8"/>
      <c r="EH206" s="8"/>
      <c r="EI206" s="8"/>
      <c r="EJ206" s="23"/>
    </row>
    <row r="207" spans="1:140" ht="18" customHeight="1">
      <c r="A207" s="59">
        <v>7</v>
      </c>
      <c r="B207" s="59" t="s">
        <v>1533</v>
      </c>
      <c r="C207" s="51" t="s">
        <v>476</v>
      </c>
      <c r="D207" s="50"/>
      <c r="E207" s="79">
        <v>40948</v>
      </c>
      <c r="F207" s="51" t="s">
        <v>1474</v>
      </c>
      <c r="G207" s="138">
        <f>2000*6-11700</f>
        <v>300</v>
      </c>
      <c r="H207" s="52"/>
      <c r="I207" s="89"/>
      <c r="J207" s="52"/>
      <c r="K207" s="8"/>
      <c r="L207" s="8">
        <f t="shared" si="110"/>
        <v>300</v>
      </c>
      <c r="M207" s="29">
        <f t="shared" si="111"/>
        <v>12000</v>
      </c>
      <c r="N207" s="29">
        <f t="shared" si="112"/>
        <v>-11700</v>
      </c>
      <c r="O207" s="8"/>
      <c r="P207" s="8"/>
      <c r="Q207" s="8"/>
      <c r="R207" s="8"/>
      <c r="S207" s="8"/>
      <c r="T207" s="8"/>
      <c r="U207" s="8">
        <v>2000</v>
      </c>
      <c r="V207" s="8">
        <v>2000</v>
      </c>
      <c r="W207" s="8">
        <v>1000</v>
      </c>
      <c r="X207" s="8">
        <v>1000</v>
      </c>
      <c r="Y207" s="8">
        <v>2000</v>
      </c>
      <c r="Z207" s="8">
        <v>2000</v>
      </c>
      <c r="AA207" s="8">
        <v>2000</v>
      </c>
      <c r="AB207" s="8"/>
      <c r="AC207" s="8"/>
      <c r="AD207" s="29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3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29"/>
      <c r="CB207" s="29"/>
      <c r="CC207" s="29"/>
      <c r="CD207" s="8"/>
      <c r="CE207" s="8"/>
      <c r="CF207" s="8"/>
      <c r="CG207" s="8"/>
      <c r="CH207" s="8"/>
      <c r="CI207" s="8"/>
      <c r="CJ207" s="8"/>
      <c r="CK207" s="29"/>
      <c r="CL207" s="29"/>
      <c r="CM207" s="29"/>
      <c r="CN207" s="29"/>
      <c r="CO207" s="8"/>
      <c r="CP207" s="8"/>
      <c r="CQ207" s="8"/>
      <c r="CR207" s="8"/>
      <c r="CS207" s="8"/>
      <c r="CT207" s="8"/>
      <c r="CU207" s="8"/>
      <c r="CV207" s="8"/>
      <c r="CW207" s="8"/>
      <c r="CX207" s="17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179"/>
      <c r="DM207" s="179"/>
      <c r="DN207" s="179"/>
      <c r="DO207" s="179"/>
      <c r="DP207" s="179"/>
      <c r="DQ207" s="179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29"/>
      <c r="EE207" s="8"/>
      <c r="EF207" s="8"/>
      <c r="EG207" s="8"/>
      <c r="EH207" s="8"/>
      <c r="EI207" s="8"/>
      <c r="EJ207" s="23"/>
    </row>
    <row r="208" spans="1:140" ht="18" customHeight="1">
      <c r="A208" s="59">
        <v>8</v>
      </c>
      <c r="B208" s="59" t="s">
        <v>1533</v>
      </c>
      <c r="C208" s="51" t="s">
        <v>480</v>
      </c>
      <c r="D208" s="50"/>
      <c r="E208" s="79">
        <v>40966</v>
      </c>
      <c r="F208" s="52" t="s">
        <v>1543</v>
      </c>
      <c r="G208" s="138">
        <f>2900*6</f>
        <v>17400</v>
      </c>
      <c r="H208" s="52"/>
      <c r="I208" s="89"/>
      <c r="J208" s="52"/>
      <c r="K208" s="8"/>
      <c r="L208" s="8">
        <f t="shared" si="110"/>
        <v>17400</v>
      </c>
      <c r="M208" s="29">
        <f t="shared" si="111"/>
        <v>17400</v>
      </c>
      <c r="N208" s="29">
        <f t="shared" si="112"/>
        <v>0</v>
      </c>
      <c r="O208" s="8"/>
      <c r="P208" s="8"/>
      <c r="Q208" s="8"/>
      <c r="R208" s="8"/>
      <c r="S208" s="8"/>
      <c r="T208" s="8"/>
      <c r="U208" s="8">
        <v>2900</v>
      </c>
      <c r="V208" s="8">
        <v>2900</v>
      </c>
      <c r="W208" s="8">
        <v>1450</v>
      </c>
      <c r="X208" s="8">
        <v>1450</v>
      </c>
      <c r="Y208" s="8">
        <v>2900</v>
      </c>
      <c r="Z208" s="8">
        <v>2900</v>
      </c>
      <c r="AA208" s="8">
        <v>2900</v>
      </c>
      <c r="AB208" s="8"/>
      <c r="AC208" s="8"/>
      <c r="AD208" s="29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3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29"/>
      <c r="CB208" s="29"/>
      <c r="CC208" s="29"/>
      <c r="CD208" s="8"/>
      <c r="CE208" s="8"/>
      <c r="CF208" s="8"/>
      <c r="CG208" s="8"/>
      <c r="CH208" s="8"/>
      <c r="CI208" s="8"/>
      <c r="CJ208" s="8"/>
      <c r="CK208" s="29"/>
      <c r="CL208" s="29"/>
      <c r="CM208" s="29"/>
      <c r="CN208" s="29"/>
      <c r="CO208" s="8"/>
      <c r="CP208" s="8"/>
      <c r="CQ208" s="8"/>
      <c r="CR208" s="8"/>
      <c r="CS208" s="8"/>
      <c r="CT208" s="8"/>
      <c r="CU208" s="8"/>
      <c r="CV208" s="8"/>
      <c r="CW208" s="8"/>
      <c r="CX208" s="17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179"/>
      <c r="DM208" s="179"/>
      <c r="DN208" s="179"/>
      <c r="DO208" s="179"/>
      <c r="DP208" s="179"/>
      <c r="DQ208" s="179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29"/>
      <c r="EE208" s="8"/>
      <c r="EF208" s="8"/>
      <c r="EG208" s="8"/>
      <c r="EH208" s="8"/>
      <c r="EI208" s="8"/>
      <c r="EJ208" s="23"/>
    </row>
    <row r="209" spans="1:140" ht="18" customHeight="1">
      <c r="A209" s="59">
        <v>9</v>
      </c>
      <c r="B209" s="59" t="s">
        <v>1533</v>
      </c>
      <c r="C209" s="51" t="s">
        <v>481</v>
      </c>
      <c r="D209" s="50"/>
      <c r="E209" s="79" t="s">
        <v>1544</v>
      </c>
      <c r="F209" s="52" t="s">
        <v>1543</v>
      </c>
      <c r="G209" s="138">
        <f>2000*6-1000</f>
        <v>11000</v>
      </c>
      <c r="H209" s="52" t="s">
        <v>1543</v>
      </c>
      <c r="I209" s="89">
        <f>360*6-436</f>
        <v>1724</v>
      </c>
      <c r="J209" s="52" t="s">
        <v>1545</v>
      </c>
      <c r="K209" s="8">
        <f>300/22*5+300*3</f>
        <v>968.18181818181824</v>
      </c>
      <c r="L209" s="8">
        <f t="shared" si="110"/>
        <v>13692.181818181818</v>
      </c>
      <c r="M209" s="29">
        <f t="shared" si="111"/>
        <v>13678</v>
      </c>
      <c r="N209" s="29">
        <f t="shared" si="112"/>
        <v>14.181818181818016</v>
      </c>
      <c r="O209" s="8"/>
      <c r="P209" s="8"/>
      <c r="Q209" s="8"/>
      <c r="R209" s="8"/>
      <c r="S209" s="8"/>
      <c r="T209" s="8"/>
      <c r="U209" s="8">
        <v>2000</v>
      </c>
      <c r="V209" s="8">
        <v>2000</v>
      </c>
      <c r="W209" s="8">
        <v>1000</v>
      </c>
      <c r="X209" s="8">
        <v>1000</v>
      </c>
      <c r="Y209" s="8">
        <v>2000</v>
      </c>
      <c r="Z209" s="8">
        <v>2000</v>
      </c>
      <c r="AA209" s="8">
        <f>2000-1000</f>
        <v>1000</v>
      </c>
      <c r="AB209" s="8"/>
      <c r="AC209" s="8"/>
      <c r="AD209" s="29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38"/>
      <c r="BM209" s="8"/>
      <c r="BN209" s="8"/>
      <c r="BO209" s="8"/>
      <c r="BP209" s="8"/>
      <c r="BQ209" s="8"/>
      <c r="BR209" s="8"/>
      <c r="BS209" s="8">
        <v>360</v>
      </c>
      <c r="BT209" s="8">
        <v>360</v>
      </c>
      <c r="BU209" s="8">
        <v>180</v>
      </c>
      <c r="BV209" s="8">
        <v>180</v>
      </c>
      <c r="BW209" s="8">
        <f>360-18</f>
        <v>342</v>
      </c>
      <c r="BX209" s="8">
        <f>360-176</f>
        <v>184</v>
      </c>
      <c r="BY209" s="8">
        <f>360-256</f>
        <v>104</v>
      </c>
      <c r="BZ209" s="8"/>
      <c r="CA209" s="29"/>
      <c r="CB209" s="29"/>
      <c r="CC209" s="29"/>
      <c r="CD209" s="8"/>
      <c r="CE209" s="8"/>
      <c r="CF209" s="8"/>
      <c r="CG209" s="8"/>
      <c r="CH209" s="8"/>
      <c r="CI209" s="8"/>
      <c r="CJ209" s="8"/>
      <c r="CK209" s="29"/>
      <c r="CL209" s="29"/>
      <c r="CM209" s="29"/>
      <c r="CN209" s="29"/>
      <c r="CO209" s="8"/>
      <c r="CP209" s="8"/>
      <c r="CQ209" s="8"/>
      <c r="CR209" s="8"/>
      <c r="CS209" s="8"/>
      <c r="CT209" s="8"/>
      <c r="CU209" s="8"/>
      <c r="CV209" s="8"/>
      <c r="CW209" s="8"/>
      <c r="CX209" s="178"/>
      <c r="CY209" s="8"/>
      <c r="CZ209" s="8"/>
      <c r="DA209" s="8"/>
      <c r="DB209" s="8"/>
      <c r="DC209" s="8"/>
      <c r="DD209" s="8"/>
      <c r="DE209" s="8">
        <v>68</v>
      </c>
      <c r="DF209" s="8">
        <v>300</v>
      </c>
      <c r="DG209" s="8">
        <v>150</v>
      </c>
      <c r="DH209" s="8">
        <v>150</v>
      </c>
      <c r="DI209" s="8">
        <v>300</v>
      </c>
      <c r="DJ209" s="8"/>
      <c r="DK209" s="8"/>
      <c r="DL209" s="179"/>
      <c r="DM209" s="179"/>
      <c r="DN209" s="179"/>
      <c r="DO209" s="179"/>
      <c r="DP209" s="179"/>
      <c r="DQ209" s="179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29"/>
      <c r="EE209" s="8"/>
      <c r="EF209" s="8"/>
      <c r="EG209" s="8"/>
      <c r="EH209" s="8"/>
      <c r="EI209" s="8"/>
      <c r="EJ209" s="23"/>
    </row>
    <row r="210" spans="1:140" ht="18" customHeight="1">
      <c r="A210" s="59">
        <v>10</v>
      </c>
      <c r="B210" s="59" t="s">
        <v>1533</v>
      </c>
      <c r="C210" s="51" t="s">
        <v>482</v>
      </c>
      <c r="D210" s="50"/>
      <c r="E210" s="79">
        <v>40967</v>
      </c>
      <c r="F210" s="52" t="s">
        <v>1543</v>
      </c>
      <c r="G210" s="138">
        <f>2000*6</f>
        <v>12000</v>
      </c>
      <c r="H210" s="52" t="s">
        <v>1543</v>
      </c>
      <c r="I210" s="89">
        <f>360*6-273</f>
        <v>1887</v>
      </c>
      <c r="J210" s="52"/>
      <c r="K210" s="8"/>
      <c r="L210" s="8">
        <f t="shared" si="110"/>
        <v>13887</v>
      </c>
      <c r="M210" s="29">
        <f t="shared" si="111"/>
        <v>14160</v>
      </c>
      <c r="N210" s="29">
        <f t="shared" si="112"/>
        <v>-273</v>
      </c>
      <c r="O210" s="8"/>
      <c r="P210" s="8"/>
      <c r="Q210" s="8"/>
      <c r="R210" s="8"/>
      <c r="S210" s="8"/>
      <c r="T210" s="8"/>
      <c r="U210" s="8">
        <v>2360</v>
      </c>
      <c r="V210" s="8">
        <v>2360</v>
      </c>
      <c r="W210" s="8">
        <v>1180</v>
      </c>
      <c r="X210" s="8">
        <v>1180</v>
      </c>
      <c r="Y210" s="8">
        <v>2360</v>
      </c>
      <c r="Z210" s="8">
        <v>2360</v>
      </c>
      <c r="AA210" s="8">
        <v>2360</v>
      </c>
      <c r="AB210" s="8"/>
      <c r="AC210" s="8"/>
      <c r="AD210" s="29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3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29"/>
      <c r="CB210" s="29"/>
      <c r="CC210" s="29"/>
      <c r="CD210" s="8"/>
      <c r="CE210" s="8"/>
      <c r="CF210" s="8"/>
      <c r="CG210" s="8"/>
      <c r="CH210" s="8"/>
      <c r="CI210" s="8"/>
      <c r="CJ210" s="8"/>
      <c r="CK210" s="29"/>
      <c r="CL210" s="29"/>
      <c r="CM210" s="29"/>
      <c r="CN210" s="29"/>
      <c r="CO210" s="8"/>
      <c r="CP210" s="8"/>
      <c r="CQ210" s="8"/>
      <c r="CR210" s="8"/>
      <c r="CS210" s="8"/>
      <c r="CT210" s="8"/>
      <c r="CU210" s="8"/>
      <c r="CV210" s="8"/>
      <c r="CW210" s="8"/>
      <c r="CX210" s="17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179"/>
      <c r="DM210" s="179"/>
      <c r="DN210" s="179"/>
      <c r="DO210" s="179"/>
      <c r="DP210" s="179"/>
      <c r="DQ210" s="179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29"/>
      <c r="EE210" s="8"/>
      <c r="EF210" s="8"/>
      <c r="EG210" s="8"/>
      <c r="EH210" s="8"/>
      <c r="EI210" s="8"/>
      <c r="EJ210" s="23"/>
    </row>
    <row r="211" spans="1:140" ht="18" customHeight="1">
      <c r="A211" s="59">
        <v>11</v>
      </c>
      <c r="B211" s="59" t="s">
        <v>1533</v>
      </c>
      <c r="C211" s="68" t="s">
        <v>1546</v>
      </c>
      <c r="D211" s="50">
        <v>1500</v>
      </c>
      <c r="E211" s="79">
        <v>40968</v>
      </c>
      <c r="F211" s="52" t="s">
        <v>1543</v>
      </c>
      <c r="G211" s="138">
        <f>2000*6</f>
        <v>12000</v>
      </c>
      <c r="H211" s="52" t="s">
        <v>1543</v>
      </c>
      <c r="I211" s="89">
        <f>200*6</f>
        <v>1200</v>
      </c>
      <c r="J211" s="52"/>
      <c r="K211" s="8"/>
      <c r="L211" s="8">
        <f t="shared" si="110"/>
        <v>14700</v>
      </c>
      <c r="M211" s="29">
        <f t="shared" si="111"/>
        <v>13200</v>
      </c>
      <c r="N211" s="29">
        <f t="shared" si="112"/>
        <v>1500</v>
      </c>
      <c r="O211" s="8"/>
      <c r="P211" s="12"/>
      <c r="Q211" s="12"/>
      <c r="R211" s="12"/>
      <c r="S211" s="12"/>
      <c r="T211" s="12"/>
      <c r="U211" s="8">
        <v>2000</v>
      </c>
      <c r="V211" s="8">
        <v>2000</v>
      </c>
      <c r="W211" s="8">
        <v>1000</v>
      </c>
      <c r="X211" s="8">
        <v>1000</v>
      </c>
      <c r="Y211" s="8">
        <v>2000</v>
      </c>
      <c r="Z211" s="8">
        <v>2000</v>
      </c>
      <c r="AA211" s="8">
        <v>2000</v>
      </c>
      <c r="AB211" s="8"/>
      <c r="AC211" s="8"/>
      <c r="AD211" s="29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39"/>
      <c r="BM211" s="12"/>
      <c r="BN211" s="12"/>
      <c r="BO211" s="12"/>
      <c r="BP211" s="12"/>
      <c r="BQ211" s="12"/>
      <c r="BR211" s="12"/>
      <c r="BS211" s="12">
        <v>200</v>
      </c>
      <c r="BT211" s="12">
        <v>200</v>
      </c>
      <c r="BU211" s="12">
        <v>100</v>
      </c>
      <c r="BV211" s="12">
        <v>100</v>
      </c>
      <c r="BW211" s="12">
        <v>200</v>
      </c>
      <c r="BX211" s="12">
        <v>200</v>
      </c>
      <c r="BY211" s="12">
        <v>200</v>
      </c>
      <c r="BZ211" s="12"/>
      <c r="CA211" s="31"/>
      <c r="CB211" s="31"/>
      <c r="CC211" s="31"/>
      <c r="CD211" s="12"/>
      <c r="CE211" s="12"/>
      <c r="CF211" s="12"/>
      <c r="CG211" s="12"/>
      <c r="CH211" s="12"/>
      <c r="CI211" s="12"/>
      <c r="CJ211" s="12"/>
      <c r="CK211" s="31"/>
      <c r="CL211" s="31"/>
      <c r="CM211" s="31"/>
      <c r="CN211" s="31"/>
      <c r="CO211" s="12"/>
      <c r="CP211" s="12"/>
      <c r="CQ211" s="12"/>
      <c r="CR211" s="12"/>
      <c r="CS211" s="12"/>
      <c r="CT211" s="12"/>
      <c r="CU211" s="12"/>
      <c r="CV211" s="12"/>
      <c r="CW211" s="12"/>
      <c r="CX211" s="180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81"/>
      <c r="DM211" s="181"/>
      <c r="DN211" s="181"/>
      <c r="DO211" s="181"/>
      <c r="DP211" s="181"/>
      <c r="DQ211" s="181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31"/>
      <c r="EE211" s="12"/>
      <c r="EF211" s="12"/>
      <c r="EG211" s="12"/>
      <c r="EH211" s="12"/>
      <c r="EI211" s="12"/>
      <c r="EJ211" s="23"/>
    </row>
    <row r="212" spans="1:140" ht="18" customHeight="1">
      <c r="A212" s="59">
        <v>12</v>
      </c>
      <c r="B212" s="59" t="s">
        <v>1533</v>
      </c>
      <c r="C212" s="69" t="s">
        <v>1547</v>
      </c>
      <c r="D212" s="50"/>
      <c r="E212" s="79">
        <v>40970</v>
      </c>
      <c r="F212" s="52" t="s">
        <v>1543</v>
      </c>
      <c r="G212" s="138">
        <f>3000*6</f>
        <v>18000</v>
      </c>
      <c r="H212" s="52"/>
      <c r="I212" s="89"/>
      <c r="J212" s="52"/>
      <c r="K212" s="8"/>
      <c r="L212" s="8">
        <f t="shared" si="110"/>
        <v>18000</v>
      </c>
      <c r="M212" s="29">
        <f t="shared" si="111"/>
        <v>18000</v>
      </c>
      <c r="N212" s="29">
        <f t="shared" si="112"/>
        <v>0</v>
      </c>
      <c r="O212" s="8"/>
      <c r="P212" s="12"/>
      <c r="Q212" s="12"/>
      <c r="R212" s="12"/>
      <c r="S212" s="12"/>
      <c r="T212" s="12"/>
      <c r="U212" s="8">
        <v>3000</v>
      </c>
      <c r="V212" s="8">
        <v>3000</v>
      </c>
      <c r="W212" s="8">
        <v>1500</v>
      </c>
      <c r="X212" s="8">
        <v>1500</v>
      </c>
      <c r="Y212" s="8">
        <v>3000</v>
      </c>
      <c r="Z212" s="8">
        <v>3000</v>
      </c>
      <c r="AA212" s="8">
        <v>3000</v>
      </c>
      <c r="AB212" s="8"/>
      <c r="AC212" s="8"/>
      <c r="AD212" s="29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39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31"/>
      <c r="CB212" s="31"/>
      <c r="CC212" s="31"/>
      <c r="CD212" s="12"/>
      <c r="CE212" s="12"/>
      <c r="CF212" s="12"/>
      <c r="CG212" s="12"/>
      <c r="CH212" s="12"/>
      <c r="CI212" s="12"/>
      <c r="CJ212" s="12"/>
      <c r="CK212" s="31"/>
      <c r="CL212" s="31"/>
      <c r="CM212" s="31"/>
      <c r="CN212" s="31"/>
      <c r="CO212" s="12"/>
      <c r="CP212" s="12"/>
      <c r="CQ212" s="12"/>
      <c r="CR212" s="12"/>
      <c r="CS212" s="12"/>
      <c r="CT212" s="12"/>
      <c r="CU212" s="12"/>
      <c r="CV212" s="12"/>
      <c r="CW212" s="12"/>
      <c r="CX212" s="180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81"/>
      <c r="DM212" s="181"/>
      <c r="DN212" s="181"/>
      <c r="DO212" s="181"/>
      <c r="DP212" s="181"/>
      <c r="DQ212" s="181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31"/>
      <c r="EE212" s="12"/>
      <c r="EF212" s="12"/>
      <c r="EG212" s="12"/>
      <c r="EH212" s="12"/>
      <c r="EI212" s="12"/>
      <c r="EJ212" s="23"/>
    </row>
    <row r="213" spans="1:140" ht="18" customHeight="1">
      <c r="A213" s="59">
        <v>13</v>
      </c>
      <c r="B213" s="59" t="s">
        <v>1533</v>
      </c>
      <c r="C213" s="50" t="s">
        <v>484</v>
      </c>
      <c r="D213" s="50"/>
      <c r="E213" s="79">
        <v>41038</v>
      </c>
      <c r="F213" s="83" t="s">
        <v>1548</v>
      </c>
      <c r="G213" s="138">
        <f>3000*12-36000</f>
        <v>0</v>
      </c>
      <c r="H213" s="52"/>
      <c r="I213" s="89"/>
      <c r="J213" s="52"/>
      <c r="K213" s="8"/>
      <c r="L213" s="8">
        <f t="shared" si="110"/>
        <v>0</v>
      </c>
      <c r="M213" s="29">
        <f t="shared" si="111"/>
        <v>0</v>
      </c>
      <c r="N213" s="29">
        <f t="shared" si="112"/>
        <v>0</v>
      </c>
      <c r="O213" s="8"/>
      <c r="P213" s="12"/>
      <c r="Q213" s="12"/>
      <c r="R213" s="12"/>
      <c r="S213" s="12"/>
      <c r="T213" s="12"/>
      <c r="U213" s="8"/>
      <c r="V213" s="8"/>
      <c r="W213" s="8"/>
      <c r="X213" s="8"/>
      <c r="Y213" s="8"/>
      <c r="Z213" s="8"/>
      <c r="AA213" s="8"/>
      <c r="AB213" s="8"/>
      <c r="AC213" s="8"/>
      <c r="AD213" s="29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39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31"/>
      <c r="CB213" s="31"/>
      <c r="CC213" s="31"/>
      <c r="CD213" s="12"/>
      <c r="CE213" s="12"/>
      <c r="CF213" s="12"/>
      <c r="CG213" s="12"/>
      <c r="CH213" s="12"/>
      <c r="CI213" s="12"/>
      <c r="CJ213" s="12"/>
      <c r="CK213" s="31"/>
      <c r="CL213" s="31"/>
      <c r="CM213" s="31"/>
      <c r="CN213" s="31"/>
      <c r="CO213" s="12"/>
      <c r="CP213" s="12"/>
      <c r="CQ213" s="12"/>
      <c r="CR213" s="12"/>
      <c r="CS213" s="12"/>
      <c r="CT213" s="12"/>
      <c r="CU213" s="12"/>
      <c r="CV213" s="12"/>
      <c r="CW213" s="12"/>
      <c r="CX213" s="180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81"/>
      <c r="DM213" s="181"/>
      <c r="DN213" s="181"/>
      <c r="DO213" s="181"/>
      <c r="DP213" s="181"/>
      <c r="DQ213" s="181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31"/>
      <c r="EE213" s="12"/>
      <c r="EF213" s="12"/>
      <c r="EG213" s="12"/>
      <c r="EH213" s="12"/>
      <c r="EI213" s="12"/>
      <c r="EJ213" s="23"/>
    </row>
    <row r="214" spans="1:140" ht="18" customHeight="1">
      <c r="A214" s="59">
        <v>14</v>
      </c>
      <c r="B214" s="59" t="s">
        <v>1533</v>
      </c>
      <c r="C214" s="51" t="s">
        <v>485</v>
      </c>
      <c r="D214" s="50">
        <v>500</v>
      </c>
      <c r="E214" s="80">
        <v>40982</v>
      </c>
      <c r="F214" s="52" t="s">
        <v>486</v>
      </c>
      <c r="G214" s="138">
        <f>3000*6-6000</f>
        <v>12000</v>
      </c>
      <c r="H214" s="52"/>
      <c r="I214" s="89"/>
      <c r="J214" s="52"/>
      <c r="K214" s="8"/>
      <c r="L214" s="8">
        <f t="shared" si="110"/>
        <v>12500</v>
      </c>
      <c r="M214" s="29">
        <f t="shared" si="111"/>
        <v>12450</v>
      </c>
      <c r="N214" s="29">
        <f t="shared" si="112"/>
        <v>50</v>
      </c>
      <c r="O214" s="8"/>
      <c r="P214" s="12"/>
      <c r="Q214" s="12"/>
      <c r="R214" s="12"/>
      <c r="S214" s="12"/>
      <c r="T214" s="12"/>
      <c r="U214" s="8">
        <v>3000</v>
      </c>
      <c r="V214" s="8">
        <v>3000</v>
      </c>
      <c r="W214" s="8">
        <v>1500</v>
      </c>
      <c r="X214" s="8">
        <v>1500</v>
      </c>
      <c r="Y214" s="8">
        <f>3000-1500</f>
        <v>1500</v>
      </c>
      <c r="Z214" s="8">
        <f>3000-1500</f>
        <v>1500</v>
      </c>
      <c r="AA214" s="8">
        <f>3000-2550</f>
        <v>450</v>
      </c>
      <c r="AB214" s="8"/>
      <c r="AC214" s="8"/>
      <c r="AD214" s="29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39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31"/>
      <c r="CB214" s="31"/>
      <c r="CC214" s="31"/>
      <c r="CD214" s="12"/>
      <c r="CE214" s="12"/>
      <c r="CF214" s="12"/>
      <c r="CG214" s="12"/>
      <c r="CH214" s="12"/>
      <c r="CI214" s="12"/>
      <c r="CJ214" s="12"/>
      <c r="CK214" s="31"/>
      <c r="CL214" s="31"/>
      <c r="CM214" s="31"/>
      <c r="CN214" s="31"/>
      <c r="CO214" s="12"/>
      <c r="CP214" s="12"/>
      <c r="CQ214" s="12"/>
      <c r="CR214" s="12"/>
      <c r="CS214" s="12"/>
      <c r="CT214" s="12"/>
      <c r="CU214" s="12"/>
      <c r="CV214" s="12"/>
      <c r="CW214" s="12"/>
      <c r="CX214" s="180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81"/>
      <c r="DM214" s="181"/>
      <c r="DN214" s="181"/>
      <c r="DO214" s="181"/>
      <c r="DP214" s="181"/>
      <c r="DQ214" s="181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31"/>
      <c r="EE214" s="12"/>
      <c r="EF214" s="12"/>
      <c r="EG214" s="12"/>
      <c r="EH214" s="12"/>
      <c r="EI214" s="12"/>
      <c r="EJ214" s="23"/>
    </row>
    <row r="215" spans="1:140" ht="18" customHeight="1">
      <c r="A215" s="59">
        <v>15</v>
      </c>
      <c r="B215" s="59" t="s">
        <v>1533</v>
      </c>
      <c r="C215" s="51" t="s">
        <v>488</v>
      </c>
      <c r="D215" s="50">
        <v>800</v>
      </c>
      <c r="E215" s="79">
        <v>40995</v>
      </c>
      <c r="F215" s="52" t="s">
        <v>1549</v>
      </c>
      <c r="G215" s="138">
        <f>3000*6-1500-8550</f>
        <v>7950</v>
      </c>
      <c r="H215" s="52"/>
      <c r="I215" s="89"/>
      <c r="J215" s="52"/>
      <c r="K215" s="8"/>
      <c r="L215" s="8">
        <f t="shared" si="110"/>
        <v>8750</v>
      </c>
      <c r="M215" s="29">
        <f t="shared" si="111"/>
        <v>7950</v>
      </c>
      <c r="N215" s="29">
        <f t="shared" si="112"/>
        <v>800</v>
      </c>
      <c r="O215" s="8"/>
      <c r="P215" s="12"/>
      <c r="Q215" s="12"/>
      <c r="R215" s="12"/>
      <c r="S215" s="12"/>
      <c r="T215" s="12"/>
      <c r="U215" s="8"/>
      <c r="V215" s="8">
        <v>3000</v>
      </c>
      <c r="W215" s="8">
        <v>1500</v>
      </c>
      <c r="X215" s="8">
        <v>1500</v>
      </c>
      <c r="Y215" s="8">
        <f>3000-1500</f>
        <v>1500</v>
      </c>
      <c r="Z215" s="8">
        <f>3000-2550</f>
        <v>450</v>
      </c>
      <c r="AA215" s="8">
        <f>3000-3000</f>
        <v>0</v>
      </c>
      <c r="AB215" s="8">
        <f>3000-3000</f>
        <v>0</v>
      </c>
      <c r="AC215" s="8"/>
      <c r="AD215" s="29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39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31"/>
      <c r="CB215" s="31"/>
      <c r="CC215" s="31"/>
      <c r="CD215" s="12"/>
      <c r="CE215" s="12"/>
      <c r="CF215" s="12"/>
      <c r="CG215" s="12"/>
      <c r="CH215" s="12"/>
      <c r="CI215" s="12"/>
      <c r="CJ215" s="12"/>
      <c r="CK215" s="31"/>
      <c r="CL215" s="31"/>
      <c r="CM215" s="31"/>
      <c r="CN215" s="31"/>
      <c r="CO215" s="12"/>
      <c r="CP215" s="12"/>
      <c r="CQ215" s="12"/>
      <c r="CR215" s="12"/>
      <c r="CS215" s="12"/>
      <c r="CT215" s="12"/>
      <c r="CU215" s="12"/>
      <c r="CV215" s="12"/>
      <c r="CW215" s="12"/>
      <c r="CX215" s="180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81"/>
      <c r="DM215" s="181"/>
      <c r="DN215" s="181"/>
      <c r="DO215" s="181"/>
      <c r="DP215" s="181"/>
      <c r="DQ215" s="181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31"/>
      <c r="EE215" s="12"/>
      <c r="EF215" s="12"/>
      <c r="EG215" s="12"/>
      <c r="EH215" s="12"/>
      <c r="EI215" s="12"/>
      <c r="EJ215" s="23"/>
    </row>
    <row r="216" spans="1:140" ht="18" customHeight="1">
      <c r="A216" s="59">
        <v>16</v>
      </c>
      <c r="B216" s="59" t="s">
        <v>1533</v>
      </c>
      <c r="C216" s="51" t="s">
        <v>1550</v>
      </c>
      <c r="D216" s="50"/>
      <c r="E216" s="79">
        <v>41022</v>
      </c>
      <c r="F216" s="52" t="s">
        <v>1551</v>
      </c>
      <c r="G216" s="138">
        <f>2000*6-4000</f>
        <v>8000</v>
      </c>
      <c r="H216" s="52"/>
      <c r="I216" s="89"/>
      <c r="J216" s="52"/>
      <c r="K216" s="8">
        <v>200</v>
      </c>
      <c r="L216" s="8">
        <f t="shared" si="110"/>
        <v>8200</v>
      </c>
      <c r="M216" s="29">
        <f t="shared" si="111"/>
        <v>8300</v>
      </c>
      <c r="N216" s="29">
        <f t="shared" si="112"/>
        <v>-100</v>
      </c>
      <c r="O216" s="8"/>
      <c r="P216" s="12"/>
      <c r="Q216" s="12"/>
      <c r="R216" s="12"/>
      <c r="S216" s="12"/>
      <c r="T216" s="12"/>
      <c r="U216" s="12"/>
      <c r="V216" s="12"/>
      <c r="W216" s="12">
        <f>1000</f>
        <v>1000</v>
      </c>
      <c r="X216" s="12">
        <v>1000</v>
      </c>
      <c r="Y216" s="12">
        <v>2000</v>
      </c>
      <c r="Z216" s="12">
        <v>2000</v>
      </c>
      <c r="AA216" s="12">
        <v>2000</v>
      </c>
      <c r="AB216" s="12">
        <f>2000-1700</f>
        <v>300</v>
      </c>
      <c r="AC216" s="12">
        <f>2000-2000</f>
        <v>0</v>
      </c>
      <c r="AD216" s="31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39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31"/>
      <c r="CB216" s="31"/>
      <c r="CC216" s="31"/>
      <c r="CD216" s="12"/>
      <c r="CE216" s="12"/>
      <c r="CF216" s="12"/>
      <c r="CG216" s="12"/>
      <c r="CH216" s="12"/>
      <c r="CI216" s="12"/>
      <c r="CJ216" s="12"/>
      <c r="CK216" s="31"/>
      <c r="CL216" s="31"/>
      <c r="CM216" s="31"/>
      <c r="CN216" s="31"/>
      <c r="CO216" s="12"/>
      <c r="CP216" s="12"/>
      <c r="CQ216" s="12"/>
      <c r="CR216" s="12"/>
      <c r="CS216" s="12"/>
      <c r="CT216" s="12"/>
      <c r="CU216" s="12"/>
      <c r="CV216" s="12"/>
      <c r="CW216" s="12"/>
      <c r="CX216" s="180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81"/>
      <c r="DM216" s="181"/>
      <c r="DN216" s="181"/>
      <c r="DO216" s="181"/>
      <c r="DP216" s="181"/>
      <c r="DQ216" s="181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31"/>
      <c r="EE216" s="12"/>
      <c r="EF216" s="12"/>
      <c r="EG216" s="12"/>
      <c r="EH216" s="12"/>
      <c r="EI216" s="12"/>
      <c r="EJ216" s="23"/>
    </row>
    <row r="217" spans="1:140" ht="18" customHeight="1">
      <c r="A217" s="59">
        <v>17</v>
      </c>
      <c r="B217" s="59" t="s">
        <v>1533</v>
      </c>
      <c r="C217" s="51" t="s">
        <v>1552</v>
      </c>
      <c r="D217" s="50"/>
      <c r="E217" s="79">
        <v>41022</v>
      </c>
      <c r="F217" s="52" t="s">
        <v>1551</v>
      </c>
      <c r="G217" s="138">
        <f>2000*6-4000</f>
        <v>8000</v>
      </c>
      <c r="H217" s="52"/>
      <c r="I217" s="89"/>
      <c r="J217" s="52"/>
      <c r="K217" s="8">
        <v>200</v>
      </c>
      <c r="L217" s="8">
        <f t="shared" si="110"/>
        <v>8200</v>
      </c>
      <c r="M217" s="29">
        <f t="shared" si="111"/>
        <v>8300</v>
      </c>
      <c r="N217" s="29">
        <f t="shared" si="112"/>
        <v>-100</v>
      </c>
      <c r="O217" s="8"/>
      <c r="P217" s="12"/>
      <c r="Q217" s="12"/>
      <c r="R217" s="12"/>
      <c r="S217" s="12"/>
      <c r="T217" s="12"/>
      <c r="U217" s="12"/>
      <c r="V217" s="12"/>
      <c r="W217" s="12">
        <v>1000</v>
      </c>
      <c r="X217" s="12">
        <v>1000</v>
      </c>
      <c r="Y217" s="12">
        <v>2000</v>
      </c>
      <c r="Z217" s="12">
        <v>2000</v>
      </c>
      <c r="AA217" s="12">
        <v>2000</v>
      </c>
      <c r="AB217" s="12">
        <f>2000-1700</f>
        <v>300</v>
      </c>
      <c r="AC217" s="12">
        <f>2000-2000</f>
        <v>0</v>
      </c>
      <c r="AD217" s="31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39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31"/>
      <c r="CB217" s="31"/>
      <c r="CC217" s="31"/>
      <c r="CD217" s="12"/>
      <c r="CE217" s="12"/>
      <c r="CF217" s="12"/>
      <c r="CG217" s="12"/>
      <c r="CH217" s="12"/>
      <c r="CI217" s="12"/>
      <c r="CJ217" s="12"/>
      <c r="CK217" s="31"/>
      <c r="CL217" s="31"/>
      <c r="CM217" s="31"/>
      <c r="CN217" s="31"/>
      <c r="CO217" s="12"/>
      <c r="CP217" s="12"/>
      <c r="CQ217" s="12"/>
      <c r="CR217" s="12"/>
      <c r="CS217" s="12"/>
      <c r="CT217" s="12"/>
      <c r="CU217" s="12"/>
      <c r="CV217" s="12"/>
      <c r="CW217" s="12"/>
      <c r="CX217" s="180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81"/>
      <c r="DM217" s="181"/>
      <c r="DN217" s="181"/>
      <c r="DO217" s="181"/>
      <c r="DP217" s="181"/>
      <c r="DQ217" s="181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31"/>
      <c r="EE217" s="12"/>
      <c r="EF217" s="12"/>
      <c r="EG217" s="12"/>
      <c r="EH217" s="12"/>
      <c r="EI217" s="12"/>
      <c r="EJ217" s="23"/>
    </row>
    <row r="218" spans="1:140" ht="18" customHeight="1">
      <c r="A218" s="59">
        <v>18</v>
      </c>
      <c r="B218" s="59" t="s">
        <v>1533</v>
      </c>
      <c r="C218" s="68" t="s">
        <v>494</v>
      </c>
      <c r="D218" s="50">
        <v>1500</v>
      </c>
      <c r="E218" s="79">
        <v>41022</v>
      </c>
      <c r="F218" s="52" t="s">
        <v>1553</v>
      </c>
      <c r="G218" s="144">
        <f>2000*4</f>
        <v>8000</v>
      </c>
      <c r="H218" s="52" t="s">
        <v>1553</v>
      </c>
      <c r="I218" s="89">
        <f>200*4</f>
        <v>800</v>
      </c>
      <c r="J218" s="52" t="s">
        <v>1553</v>
      </c>
      <c r="K218" s="8">
        <f>300*4</f>
        <v>1200</v>
      </c>
      <c r="L218" s="8">
        <f t="shared" si="110"/>
        <v>11500</v>
      </c>
      <c r="M218" s="29">
        <f t="shared" si="111"/>
        <v>10000</v>
      </c>
      <c r="N218" s="29">
        <f t="shared" si="112"/>
        <v>1500</v>
      </c>
      <c r="O218" s="8"/>
      <c r="P218" s="12"/>
      <c r="Q218" s="12"/>
      <c r="R218" s="12"/>
      <c r="S218" s="12"/>
      <c r="T218" s="12"/>
      <c r="U218" s="12"/>
      <c r="V218" s="12"/>
      <c r="W218" s="12">
        <v>1000</v>
      </c>
      <c r="X218" s="12">
        <v>1000</v>
      </c>
      <c r="Y218" s="12">
        <v>2000</v>
      </c>
      <c r="Z218" s="12">
        <v>2000</v>
      </c>
      <c r="AA218" s="12">
        <v>2000</v>
      </c>
      <c r="AB218" s="12"/>
      <c r="AC218" s="12"/>
      <c r="AD218" s="31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39"/>
      <c r="BM218" s="12"/>
      <c r="BN218" s="12"/>
      <c r="BO218" s="12"/>
      <c r="BP218" s="12"/>
      <c r="BQ218" s="12"/>
      <c r="BR218" s="12"/>
      <c r="BS218" s="12"/>
      <c r="BT218" s="12"/>
      <c r="BU218" s="12">
        <v>100</v>
      </c>
      <c r="BV218" s="12">
        <v>100</v>
      </c>
      <c r="BW218" s="12">
        <v>200</v>
      </c>
      <c r="BX218" s="12">
        <v>200</v>
      </c>
      <c r="BY218" s="12">
        <v>200</v>
      </c>
      <c r="BZ218" s="12"/>
      <c r="CA218" s="31"/>
      <c r="CB218" s="31"/>
      <c r="CC218" s="31"/>
      <c r="CD218" s="12"/>
      <c r="CE218" s="12"/>
      <c r="CF218" s="12"/>
      <c r="CG218" s="12"/>
      <c r="CH218" s="12"/>
      <c r="CI218" s="12"/>
      <c r="CJ218" s="12"/>
      <c r="CK218" s="31"/>
      <c r="CL218" s="31"/>
      <c r="CM218" s="31"/>
      <c r="CN218" s="31"/>
      <c r="CO218" s="12"/>
      <c r="CP218" s="12"/>
      <c r="CQ218" s="12"/>
      <c r="CR218" s="12"/>
      <c r="CS218" s="12"/>
      <c r="CT218" s="12"/>
      <c r="CU218" s="12"/>
      <c r="CV218" s="12"/>
      <c r="CW218" s="12"/>
      <c r="CX218" s="180"/>
      <c r="CY218" s="12"/>
      <c r="CZ218" s="12"/>
      <c r="DA218" s="12"/>
      <c r="DB218" s="12"/>
      <c r="DC218" s="12"/>
      <c r="DD218" s="12"/>
      <c r="DE218" s="12"/>
      <c r="DF218" s="12"/>
      <c r="DG218" s="12">
        <v>150</v>
      </c>
      <c r="DH218" s="12">
        <v>150</v>
      </c>
      <c r="DI218" s="12">
        <v>300</v>
      </c>
      <c r="DJ218" s="12">
        <v>300</v>
      </c>
      <c r="DK218" s="12">
        <v>300</v>
      </c>
      <c r="DL218" s="181"/>
      <c r="DM218" s="181"/>
      <c r="DN218" s="181"/>
      <c r="DO218" s="181"/>
      <c r="DP218" s="181"/>
      <c r="DQ218" s="181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31"/>
      <c r="EE218" s="12"/>
      <c r="EF218" s="12"/>
      <c r="EG218" s="12"/>
      <c r="EH218" s="12"/>
      <c r="EI218" s="12"/>
      <c r="EJ218" s="23"/>
    </row>
    <row r="219" spans="1:140" ht="18" customHeight="1">
      <c r="A219" s="59">
        <v>19</v>
      </c>
      <c r="B219" s="59" t="s">
        <v>1533</v>
      </c>
      <c r="C219" s="68" t="s">
        <v>495</v>
      </c>
      <c r="D219" s="50"/>
      <c r="E219" s="79">
        <v>41026</v>
      </c>
      <c r="F219" s="52" t="s">
        <v>1553</v>
      </c>
      <c r="G219" s="142">
        <f>2215*4</f>
        <v>8860</v>
      </c>
      <c r="H219" s="52" t="s">
        <v>1553</v>
      </c>
      <c r="I219" s="89">
        <f>360*4</f>
        <v>1440</v>
      </c>
      <c r="J219" s="52" t="s">
        <v>1553</v>
      </c>
      <c r="K219" s="11"/>
      <c r="L219" s="8">
        <f t="shared" si="110"/>
        <v>10300</v>
      </c>
      <c r="M219" s="29">
        <f t="shared" si="111"/>
        <v>10300</v>
      </c>
      <c r="N219" s="29">
        <f t="shared" si="112"/>
        <v>0</v>
      </c>
      <c r="O219" s="8"/>
      <c r="P219" s="12"/>
      <c r="Q219" s="12"/>
      <c r="R219" s="12"/>
      <c r="S219" s="12"/>
      <c r="T219" s="12"/>
      <c r="U219" s="12"/>
      <c r="V219" s="12"/>
      <c r="W219" s="12">
        <v>1187.5</v>
      </c>
      <c r="X219" s="12">
        <v>1187.5</v>
      </c>
      <c r="Y219" s="12">
        <v>2375</v>
      </c>
      <c r="Z219" s="12">
        <v>2375</v>
      </c>
      <c r="AA219" s="12">
        <v>2375</v>
      </c>
      <c r="AB219" s="12"/>
      <c r="AC219" s="12"/>
      <c r="AD219" s="31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39"/>
      <c r="BM219" s="12"/>
      <c r="BN219" s="12"/>
      <c r="BO219" s="12"/>
      <c r="BP219" s="12"/>
      <c r="BQ219" s="12"/>
      <c r="BR219" s="12"/>
      <c r="BS219" s="12"/>
      <c r="BT219" s="12"/>
      <c r="BU219" s="12">
        <v>100</v>
      </c>
      <c r="BV219" s="12">
        <v>100</v>
      </c>
      <c r="BW219" s="12">
        <v>200</v>
      </c>
      <c r="BX219" s="12">
        <v>200</v>
      </c>
      <c r="BY219" s="12">
        <v>200</v>
      </c>
      <c r="BZ219" s="12"/>
      <c r="CA219" s="31"/>
      <c r="CB219" s="31"/>
      <c r="CC219" s="31"/>
      <c r="CD219" s="12"/>
      <c r="CE219" s="12"/>
      <c r="CF219" s="12"/>
      <c r="CG219" s="12"/>
      <c r="CH219" s="12"/>
      <c r="CI219" s="12"/>
      <c r="CJ219" s="12"/>
      <c r="CK219" s="31"/>
      <c r="CL219" s="31"/>
      <c r="CM219" s="31"/>
      <c r="CN219" s="31"/>
      <c r="CO219" s="12"/>
      <c r="CP219" s="12"/>
      <c r="CQ219" s="12"/>
      <c r="CR219" s="12"/>
      <c r="CS219" s="12"/>
      <c r="CT219" s="12"/>
      <c r="CU219" s="12"/>
      <c r="CV219" s="12"/>
      <c r="CW219" s="12"/>
      <c r="CX219" s="180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81"/>
      <c r="DM219" s="181"/>
      <c r="DN219" s="181"/>
      <c r="DO219" s="181"/>
      <c r="DP219" s="181"/>
      <c r="DQ219" s="181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31"/>
      <c r="EE219" s="12"/>
      <c r="EF219" s="12"/>
      <c r="EG219" s="12"/>
      <c r="EH219" s="12"/>
      <c r="EI219" s="12"/>
      <c r="EJ219" s="23"/>
    </row>
    <row r="220" spans="1:140" ht="18" customHeight="1">
      <c r="A220" s="59">
        <v>20</v>
      </c>
      <c r="B220" s="59" t="s">
        <v>1533</v>
      </c>
      <c r="C220" s="51" t="s">
        <v>496</v>
      </c>
      <c r="D220" s="50"/>
      <c r="E220" s="79">
        <v>41027</v>
      </c>
      <c r="F220" s="83" t="s">
        <v>1548</v>
      </c>
      <c r="G220" s="144">
        <f>2000*4-8000</f>
        <v>0</v>
      </c>
      <c r="H220" s="84" t="s">
        <v>1554</v>
      </c>
      <c r="I220" s="89">
        <f>200*4-800</f>
        <v>0</v>
      </c>
      <c r="J220" s="52"/>
      <c r="K220" s="11"/>
      <c r="L220" s="8">
        <f t="shared" si="110"/>
        <v>0</v>
      </c>
      <c r="M220" s="29">
        <f t="shared" si="111"/>
        <v>0</v>
      </c>
      <c r="N220" s="29">
        <f t="shared" si="112"/>
        <v>0</v>
      </c>
      <c r="O220" s="8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31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39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31"/>
      <c r="CB220" s="31"/>
      <c r="CC220" s="31"/>
      <c r="CD220" s="12"/>
      <c r="CE220" s="12"/>
      <c r="CF220" s="12"/>
      <c r="CG220" s="12"/>
      <c r="CH220" s="12"/>
      <c r="CI220" s="12"/>
      <c r="CJ220" s="12"/>
      <c r="CK220" s="31"/>
      <c r="CL220" s="31"/>
      <c r="CM220" s="31"/>
      <c r="CN220" s="31"/>
      <c r="CO220" s="12"/>
      <c r="CP220" s="12"/>
      <c r="CQ220" s="12"/>
      <c r="CR220" s="12"/>
      <c r="CS220" s="12"/>
      <c r="CT220" s="12"/>
      <c r="CU220" s="12"/>
      <c r="CV220" s="12"/>
      <c r="CW220" s="12"/>
      <c r="CX220" s="180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81"/>
      <c r="DM220" s="181"/>
      <c r="DN220" s="181"/>
      <c r="DO220" s="181"/>
      <c r="DP220" s="181"/>
      <c r="DQ220" s="181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31"/>
      <c r="EE220" s="12"/>
      <c r="EF220" s="12"/>
      <c r="EG220" s="12"/>
      <c r="EH220" s="12"/>
      <c r="EI220" s="12"/>
      <c r="EJ220" s="23"/>
    </row>
    <row r="221" spans="1:140" ht="18" customHeight="1">
      <c r="A221" s="59">
        <v>21</v>
      </c>
      <c r="B221" s="59" t="s">
        <v>1533</v>
      </c>
      <c r="C221" s="51" t="s">
        <v>497</v>
      </c>
      <c r="D221" s="50">
        <v>800</v>
      </c>
      <c r="E221" s="79">
        <v>41032</v>
      </c>
      <c r="F221" s="52" t="s">
        <v>1553</v>
      </c>
      <c r="G221" s="144">
        <f>2000*4</f>
        <v>8000</v>
      </c>
      <c r="H221" s="52" t="s">
        <v>1553</v>
      </c>
      <c r="I221" s="89">
        <f>200*4</f>
        <v>800</v>
      </c>
      <c r="J221" s="52"/>
      <c r="K221" s="11">
        <f>300*4</f>
        <v>1200</v>
      </c>
      <c r="L221" s="8">
        <f t="shared" si="110"/>
        <v>10800</v>
      </c>
      <c r="M221" s="29">
        <f t="shared" si="111"/>
        <v>10800</v>
      </c>
      <c r="N221" s="29">
        <f t="shared" si="112"/>
        <v>0</v>
      </c>
      <c r="O221" s="8"/>
      <c r="P221" s="12"/>
      <c r="Q221" s="12"/>
      <c r="R221" s="12"/>
      <c r="S221" s="12"/>
      <c r="T221" s="12"/>
      <c r="U221" s="12"/>
      <c r="V221" s="12"/>
      <c r="W221" s="12">
        <v>1250</v>
      </c>
      <c r="X221" s="12">
        <v>1250</v>
      </c>
      <c r="Y221" s="12">
        <v>2500</v>
      </c>
      <c r="Z221" s="12">
        <v>2500</v>
      </c>
      <c r="AA221" s="12">
        <v>2500</v>
      </c>
      <c r="AB221" s="12"/>
      <c r="AC221" s="12"/>
      <c r="AD221" s="31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39"/>
      <c r="BM221" s="12"/>
      <c r="BN221" s="12"/>
      <c r="BO221" s="12"/>
      <c r="BP221" s="12"/>
      <c r="BQ221" s="12"/>
      <c r="BR221" s="12"/>
      <c r="BS221" s="12"/>
      <c r="BT221" s="12"/>
      <c r="BU221" s="12">
        <v>100</v>
      </c>
      <c r="BV221" s="12">
        <v>100</v>
      </c>
      <c r="BW221" s="12">
        <v>200</v>
      </c>
      <c r="BX221" s="12">
        <v>200</v>
      </c>
      <c r="BY221" s="12">
        <v>200</v>
      </c>
      <c r="BZ221" s="12"/>
      <c r="CA221" s="31"/>
      <c r="CB221" s="31"/>
      <c r="CC221" s="31"/>
      <c r="CD221" s="12"/>
      <c r="CE221" s="12"/>
      <c r="CF221" s="12"/>
      <c r="CG221" s="12"/>
      <c r="CH221" s="12"/>
      <c r="CI221" s="12"/>
      <c r="CJ221" s="12"/>
      <c r="CK221" s="31"/>
      <c r="CL221" s="31"/>
      <c r="CM221" s="31"/>
      <c r="CN221" s="31"/>
      <c r="CO221" s="12"/>
      <c r="CP221" s="12"/>
      <c r="CQ221" s="12"/>
      <c r="CR221" s="12"/>
      <c r="CS221" s="12"/>
      <c r="CT221" s="12"/>
      <c r="CU221" s="12"/>
      <c r="CV221" s="12"/>
      <c r="CW221" s="12"/>
      <c r="CX221" s="180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81"/>
      <c r="DM221" s="181"/>
      <c r="DN221" s="181"/>
      <c r="DO221" s="181"/>
      <c r="DP221" s="181"/>
      <c r="DQ221" s="181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31"/>
      <c r="EE221" s="12"/>
      <c r="EF221" s="12"/>
      <c r="EG221" s="12"/>
      <c r="EH221" s="12"/>
      <c r="EI221" s="12"/>
      <c r="EJ221" s="23"/>
    </row>
    <row r="222" spans="1:140" ht="18" customHeight="1">
      <c r="A222" s="59">
        <v>22</v>
      </c>
      <c r="B222" s="59" t="s">
        <v>1533</v>
      </c>
      <c r="C222" s="51" t="s">
        <v>499</v>
      </c>
      <c r="D222" s="50">
        <v>800</v>
      </c>
      <c r="E222" s="79">
        <v>41033</v>
      </c>
      <c r="F222" s="84" t="s">
        <v>1555</v>
      </c>
      <c r="G222" s="140">
        <f>3000*2</f>
        <v>6000</v>
      </c>
      <c r="H222" s="84" t="s">
        <v>1555</v>
      </c>
      <c r="I222" s="89">
        <f>200*2</f>
        <v>400</v>
      </c>
      <c r="J222" s="52"/>
      <c r="K222" s="11"/>
      <c r="L222" s="8">
        <f t="shared" si="110"/>
        <v>7200</v>
      </c>
      <c r="M222" s="29">
        <f t="shared" si="111"/>
        <v>6400</v>
      </c>
      <c r="N222" s="29">
        <f t="shared" si="112"/>
        <v>800</v>
      </c>
      <c r="O222" s="8"/>
      <c r="P222" s="12"/>
      <c r="Q222" s="12"/>
      <c r="R222" s="12"/>
      <c r="S222" s="12"/>
      <c r="T222" s="12"/>
      <c r="U222" s="12"/>
      <c r="V222" s="12"/>
      <c r="W222" s="12">
        <v>1500</v>
      </c>
      <c r="X222" s="12">
        <v>1500</v>
      </c>
      <c r="Y222" s="12">
        <v>3000</v>
      </c>
      <c r="Z222" s="12"/>
      <c r="AA222" s="12"/>
      <c r="AB222" s="12"/>
      <c r="AC222" s="12"/>
      <c r="AD222" s="31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39"/>
      <c r="BM222" s="12"/>
      <c r="BN222" s="12"/>
      <c r="BO222" s="12"/>
      <c r="BP222" s="12"/>
      <c r="BQ222" s="12"/>
      <c r="BR222" s="12"/>
      <c r="BS222" s="12"/>
      <c r="BT222" s="12"/>
      <c r="BU222" s="12">
        <v>100</v>
      </c>
      <c r="BV222" s="12">
        <v>100</v>
      </c>
      <c r="BW222" s="12">
        <v>200</v>
      </c>
      <c r="BX222" s="12"/>
      <c r="BY222" s="12"/>
      <c r="BZ222" s="12"/>
      <c r="CA222" s="31"/>
      <c r="CB222" s="31"/>
      <c r="CC222" s="31"/>
      <c r="CD222" s="12"/>
      <c r="CE222" s="12"/>
      <c r="CF222" s="12"/>
      <c r="CG222" s="12"/>
      <c r="CH222" s="12"/>
      <c r="CI222" s="12"/>
      <c r="CJ222" s="12"/>
      <c r="CK222" s="31"/>
      <c r="CL222" s="31"/>
      <c r="CM222" s="31"/>
      <c r="CN222" s="31"/>
      <c r="CO222" s="12"/>
      <c r="CP222" s="12"/>
      <c r="CQ222" s="12"/>
      <c r="CR222" s="12"/>
      <c r="CS222" s="12"/>
      <c r="CT222" s="12"/>
      <c r="CU222" s="12"/>
      <c r="CV222" s="12"/>
      <c r="CW222" s="12"/>
      <c r="CX222" s="180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81"/>
      <c r="DM222" s="181"/>
      <c r="DN222" s="181"/>
      <c r="DO222" s="181"/>
      <c r="DP222" s="181"/>
      <c r="DQ222" s="181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31"/>
      <c r="EE222" s="12"/>
      <c r="EF222" s="12"/>
      <c r="EG222" s="12"/>
      <c r="EH222" s="12"/>
      <c r="EI222" s="12"/>
      <c r="EJ222" s="23"/>
    </row>
    <row r="223" spans="1:140" ht="18" customHeight="1">
      <c r="A223" s="59">
        <v>23</v>
      </c>
      <c r="B223" s="59" t="s">
        <v>1533</v>
      </c>
      <c r="C223" s="51" t="s">
        <v>1556</v>
      </c>
      <c r="D223" s="50">
        <v>800</v>
      </c>
      <c r="E223" s="79" t="s">
        <v>1557</v>
      </c>
      <c r="F223" s="84" t="s">
        <v>1551</v>
      </c>
      <c r="G223" s="140">
        <f>2000*6-4000</f>
        <v>8000</v>
      </c>
      <c r="H223" s="84"/>
      <c r="I223" s="89"/>
      <c r="J223" s="52" t="s">
        <v>1558</v>
      </c>
      <c r="K223" s="11">
        <f>200+200</f>
        <v>400</v>
      </c>
      <c r="L223" s="8">
        <f t="shared" si="110"/>
        <v>9200</v>
      </c>
      <c r="M223" s="29">
        <f t="shared" si="111"/>
        <v>8700</v>
      </c>
      <c r="N223" s="29">
        <f t="shared" si="112"/>
        <v>500</v>
      </c>
      <c r="O223" s="8"/>
      <c r="P223" s="12"/>
      <c r="Q223" s="12"/>
      <c r="R223" s="12"/>
      <c r="S223" s="12"/>
      <c r="T223" s="12"/>
      <c r="U223" s="12"/>
      <c r="V223" s="12"/>
      <c r="W223" s="12">
        <v>1000</v>
      </c>
      <c r="X223" s="12">
        <v>1000</v>
      </c>
      <c r="Y223" s="12">
        <v>2000</v>
      </c>
      <c r="Z223" s="12">
        <v>2000</v>
      </c>
      <c r="AA223" s="12">
        <v>2000</v>
      </c>
      <c r="AB223" s="12">
        <f>2000-1700</f>
        <v>300</v>
      </c>
      <c r="AC223" s="12">
        <f>2000-2000</f>
        <v>0</v>
      </c>
      <c r="AD223" s="31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39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31"/>
      <c r="CB223" s="31"/>
      <c r="CC223" s="31"/>
      <c r="CD223" s="12"/>
      <c r="CE223" s="12"/>
      <c r="CF223" s="12"/>
      <c r="CG223" s="12"/>
      <c r="CH223" s="12"/>
      <c r="CI223" s="12"/>
      <c r="CJ223" s="12"/>
      <c r="CK223" s="31"/>
      <c r="CL223" s="31"/>
      <c r="CM223" s="31"/>
      <c r="CN223" s="31"/>
      <c r="CO223" s="12"/>
      <c r="CP223" s="12"/>
      <c r="CQ223" s="12"/>
      <c r="CR223" s="12"/>
      <c r="CS223" s="12"/>
      <c r="CT223" s="12"/>
      <c r="CU223" s="12"/>
      <c r="CV223" s="12"/>
      <c r="CW223" s="12"/>
      <c r="CX223" s="180"/>
      <c r="CY223" s="12"/>
      <c r="CZ223" s="12"/>
      <c r="DA223" s="12"/>
      <c r="DB223" s="12"/>
      <c r="DC223" s="12"/>
      <c r="DD223" s="12"/>
      <c r="DE223" s="12"/>
      <c r="DF223" s="12"/>
      <c r="DG223" s="12">
        <v>100</v>
      </c>
      <c r="DH223" s="12">
        <v>100</v>
      </c>
      <c r="DI223" s="12"/>
      <c r="DJ223" s="12"/>
      <c r="DK223" s="12">
        <v>200</v>
      </c>
      <c r="DL223" s="181"/>
      <c r="DM223" s="181"/>
      <c r="DN223" s="181"/>
      <c r="DO223" s="181"/>
      <c r="DP223" s="181"/>
      <c r="DQ223" s="181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31"/>
      <c r="EE223" s="12"/>
      <c r="EF223" s="12"/>
      <c r="EG223" s="12"/>
      <c r="EH223" s="12"/>
      <c r="EI223" s="12"/>
      <c r="EJ223" s="23"/>
    </row>
    <row r="224" spans="1:140" ht="18" customHeight="1">
      <c r="A224" s="59">
        <v>24</v>
      </c>
      <c r="B224" s="59" t="s">
        <v>1533</v>
      </c>
      <c r="C224" s="68" t="s">
        <v>1559</v>
      </c>
      <c r="D224" s="50">
        <f>1500+1000+300</f>
        <v>2800</v>
      </c>
      <c r="E224" s="79" t="s">
        <v>1560</v>
      </c>
      <c r="F224" s="84" t="s">
        <v>1561</v>
      </c>
      <c r="G224" s="140">
        <f>2000+6000+2000*6</f>
        <v>20000</v>
      </c>
      <c r="H224" s="84" t="s">
        <v>1561</v>
      </c>
      <c r="I224" s="89">
        <f>200+600+400*6</f>
        <v>3200</v>
      </c>
      <c r="J224" s="52"/>
      <c r="K224" s="11"/>
      <c r="L224" s="8">
        <f t="shared" si="110"/>
        <v>26000</v>
      </c>
      <c r="M224" s="29">
        <f t="shared" si="111"/>
        <v>23200</v>
      </c>
      <c r="N224" s="29">
        <f t="shared" si="112"/>
        <v>2800</v>
      </c>
      <c r="O224" s="8"/>
      <c r="P224" s="12"/>
      <c r="Q224" s="12"/>
      <c r="R224" s="12"/>
      <c r="S224" s="12"/>
      <c r="T224" s="12"/>
      <c r="U224" s="12"/>
      <c r="V224" s="12"/>
      <c r="W224" s="12">
        <v>1000</v>
      </c>
      <c r="X224" s="12">
        <v>1000</v>
      </c>
      <c r="Y224" s="12">
        <v>2000</v>
      </c>
      <c r="Z224" s="12">
        <v>2000</v>
      </c>
      <c r="AA224" s="12">
        <v>2000</v>
      </c>
      <c r="AB224" s="12">
        <v>2000</v>
      </c>
      <c r="AC224" s="12">
        <v>2000</v>
      </c>
      <c r="AD224" s="31">
        <v>2000</v>
      </c>
      <c r="AE224" s="12">
        <v>2000</v>
      </c>
      <c r="AF224" s="12">
        <v>2000</v>
      </c>
      <c r="AG224" s="12">
        <v>2000</v>
      </c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39"/>
      <c r="BM224" s="12"/>
      <c r="BN224" s="12"/>
      <c r="BO224" s="12"/>
      <c r="BP224" s="12"/>
      <c r="BQ224" s="12"/>
      <c r="BR224" s="12"/>
      <c r="BS224" s="12"/>
      <c r="BT224" s="12"/>
      <c r="BU224" s="12">
        <v>100</v>
      </c>
      <c r="BV224" s="12">
        <v>100</v>
      </c>
      <c r="BW224" s="12">
        <v>200</v>
      </c>
      <c r="BX224" s="12">
        <v>200</v>
      </c>
      <c r="BY224" s="12">
        <v>200</v>
      </c>
      <c r="BZ224" s="12">
        <v>400</v>
      </c>
      <c r="CA224" s="31">
        <v>400</v>
      </c>
      <c r="CB224" s="31">
        <v>400</v>
      </c>
      <c r="CC224" s="31">
        <v>400</v>
      </c>
      <c r="CD224" s="12">
        <v>400</v>
      </c>
      <c r="CE224" s="12">
        <v>400</v>
      </c>
      <c r="CF224" s="12"/>
      <c r="CG224" s="12"/>
      <c r="CH224" s="12"/>
      <c r="CI224" s="12"/>
      <c r="CJ224" s="12"/>
      <c r="CK224" s="31"/>
      <c r="CL224" s="31"/>
      <c r="CM224" s="31"/>
      <c r="CN224" s="31"/>
      <c r="CO224" s="12"/>
      <c r="CP224" s="12"/>
      <c r="CQ224" s="12"/>
      <c r="CR224" s="12"/>
      <c r="CS224" s="12"/>
      <c r="CT224" s="12"/>
      <c r="CU224" s="12"/>
      <c r="CV224" s="12"/>
      <c r="CW224" s="12"/>
      <c r="CX224" s="180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81"/>
      <c r="DM224" s="181"/>
      <c r="DN224" s="181"/>
      <c r="DO224" s="181"/>
      <c r="DP224" s="181"/>
      <c r="DQ224" s="181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31"/>
      <c r="EE224" s="12"/>
      <c r="EF224" s="12"/>
      <c r="EG224" s="12"/>
      <c r="EH224" s="12"/>
      <c r="EI224" s="12"/>
      <c r="EJ224" s="23"/>
    </row>
    <row r="225" spans="1:140" ht="18" customHeight="1">
      <c r="A225" s="59">
        <v>25</v>
      </c>
      <c r="B225" s="59" t="s">
        <v>1533</v>
      </c>
      <c r="C225" s="68" t="s">
        <v>523</v>
      </c>
      <c r="D225" s="50">
        <v>1500</v>
      </c>
      <c r="E225" s="79">
        <v>40707</v>
      </c>
      <c r="F225" s="83" t="s">
        <v>1474</v>
      </c>
      <c r="G225" s="142"/>
      <c r="H225" s="52"/>
      <c r="I225" s="96"/>
      <c r="J225" s="52"/>
      <c r="K225" s="11"/>
      <c r="L225" s="8">
        <f t="shared" si="110"/>
        <v>1500</v>
      </c>
      <c r="M225" s="29">
        <f t="shared" si="111"/>
        <v>0</v>
      </c>
      <c r="N225" s="29">
        <f t="shared" si="112"/>
        <v>1500</v>
      </c>
      <c r="O225" s="8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31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39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31"/>
      <c r="CB225" s="31"/>
      <c r="CC225" s="31"/>
      <c r="CD225" s="12"/>
      <c r="CE225" s="12"/>
      <c r="CF225" s="12"/>
      <c r="CG225" s="12"/>
      <c r="CH225" s="12"/>
      <c r="CI225" s="12"/>
      <c r="CJ225" s="12"/>
      <c r="CK225" s="31"/>
      <c r="CL225" s="31"/>
      <c r="CM225" s="31"/>
      <c r="CN225" s="31"/>
      <c r="CO225" s="12"/>
      <c r="CP225" s="12"/>
      <c r="CQ225" s="12"/>
      <c r="CR225" s="12"/>
      <c r="CS225" s="12"/>
      <c r="CT225" s="12"/>
      <c r="CU225" s="12"/>
      <c r="CV225" s="12"/>
      <c r="CW225" s="12"/>
      <c r="CX225" s="180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81"/>
      <c r="DM225" s="181"/>
      <c r="DN225" s="181"/>
      <c r="DO225" s="181"/>
      <c r="DP225" s="181"/>
      <c r="DQ225" s="181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31"/>
      <c r="EE225" s="12"/>
      <c r="EF225" s="12"/>
      <c r="EG225" s="12"/>
      <c r="EH225" s="12"/>
      <c r="EI225" s="12"/>
      <c r="EJ225" s="23"/>
    </row>
    <row r="226" spans="1:140" ht="18" customHeight="1">
      <c r="A226" s="59">
        <v>26</v>
      </c>
      <c r="B226" s="59" t="s">
        <v>1533</v>
      </c>
      <c r="C226" s="51" t="s">
        <v>535</v>
      </c>
      <c r="D226" s="50">
        <f>1500-1500</f>
        <v>0</v>
      </c>
      <c r="E226" s="79">
        <v>40709</v>
      </c>
      <c r="F226" s="83" t="s">
        <v>1474</v>
      </c>
      <c r="G226" s="142"/>
      <c r="H226" s="52"/>
      <c r="I226" s="96"/>
      <c r="J226" s="52"/>
      <c r="K226" s="11"/>
      <c r="L226" s="8">
        <f t="shared" si="110"/>
        <v>0</v>
      </c>
      <c r="M226" s="8">
        <f t="shared" si="111"/>
        <v>0</v>
      </c>
      <c r="N226" s="8">
        <f t="shared" si="112"/>
        <v>0</v>
      </c>
      <c r="O226" s="8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31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39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31"/>
      <c r="CB226" s="31"/>
      <c r="CC226" s="31"/>
      <c r="CD226" s="12"/>
      <c r="CE226" s="12"/>
      <c r="CF226" s="12"/>
      <c r="CG226" s="12"/>
      <c r="CH226" s="12"/>
      <c r="CI226" s="12"/>
      <c r="CJ226" s="12"/>
      <c r="CK226" s="31"/>
      <c r="CL226" s="31"/>
      <c r="CM226" s="31"/>
      <c r="CN226" s="31"/>
      <c r="CO226" s="12"/>
      <c r="CP226" s="12"/>
      <c r="CQ226" s="12"/>
      <c r="CR226" s="12"/>
      <c r="CS226" s="12"/>
      <c r="CT226" s="12"/>
      <c r="CU226" s="12"/>
      <c r="CV226" s="12"/>
      <c r="CW226" s="12"/>
      <c r="CX226" s="180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81"/>
      <c r="DM226" s="181"/>
      <c r="DN226" s="181"/>
      <c r="DO226" s="181"/>
      <c r="DP226" s="181"/>
      <c r="DQ226" s="181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31"/>
      <c r="EE226" s="12"/>
      <c r="EF226" s="12"/>
      <c r="EG226" s="12"/>
      <c r="EH226" s="12"/>
      <c r="EI226" s="12"/>
      <c r="EJ226" s="23"/>
    </row>
    <row r="227" spans="1:140" ht="18" customHeight="1">
      <c r="A227" s="59">
        <v>27</v>
      </c>
      <c r="B227" s="59" t="s">
        <v>1533</v>
      </c>
      <c r="C227" s="51" t="s">
        <v>536</v>
      </c>
      <c r="D227" s="50">
        <f>1500-1500</f>
        <v>0</v>
      </c>
      <c r="E227" s="79">
        <v>40710</v>
      </c>
      <c r="F227" s="83" t="s">
        <v>1474</v>
      </c>
      <c r="G227" s="142"/>
      <c r="H227" s="52"/>
      <c r="I227" s="96"/>
      <c r="J227" s="52"/>
      <c r="K227" s="11"/>
      <c r="L227" s="8">
        <f t="shared" si="110"/>
        <v>0</v>
      </c>
      <c r="M227" s="8">
        <f t="shared" si="111"/>
        <v>0</v>
      </c>
      <c r="N227" s="8">
        <f t="shared" si="112"/>
        <v>0</v>
      </c>
      <c r="O227" s="8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31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39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31"/>
      <c r="CB227" s="31"/>
      <c r="CC227" s="31"/>
      <c r="CD227" s="12"/>
      <c r="CE227" s="12"/>
      <c r="CF227" s="12"/>
      <c r="CG227" s="12"/>
      <c r="CH227" s="12"/>
      <c r="CI227" s="12"/>
      <c r="CJ227" s="12"/>
      <c r="CK227" s="31"/>
      <c r="CL227" s="31"/>
      <c r="CM227" s="31"/>
      <c r="CN227" s="31"/>
      <c r="CO227" s="12"/>
      <c r="CP227" s="12"/>
      <c r="CQ227" s="12"/>
      <c r="CR227" s="12"/>
      <c r="CS227" s="12"/>
      <c r="CT227" s="12"/>
      <c r="CU227" s="12"/>
      <c r="CV227" s="12"/>
      <c r="CW227" s="12"/>
      <c r="CX227" s="180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81"/>
      <c r="DM227" s="181"/>
      <c r="DN227" s="181"/>
      <c r="DO227" s="181"/>
      <c r="DP227" s="181"/>
      <c r="DQ227" s="181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31"/>
      <c r="EE227" s="12"/>
      <c r="EF227" s="12"/>
      <c r="EG227" s="12"/>
      <c r="EH227" s="12"/>
      <c r="EI227" s="12"/>
      <c r="EJ227" s="23"/>
    </row>
    <row r="228" spans="1:140" ht="18" customHeight="1">
      <c r="A228" s="59">
        <v>28</v>
      </c>
      <c r="B228" s="59" t="s">
        <v>1533</v>
      </c>
      <c r="C228" s="51" t="s">
        <v>539</v>
      </c>
      <c r="D228" s="50">
        <v>0</v>
      </c>
      <c r="E228" s="79">
        <v>40728</v>
      </c>
      <c r="F228" s="83" t="s">
        <v>1562</v>
      </c>
      <c r="G228" s="142"/>
      <c r="H228" s="52"/>
      <c r="I228" s="96"/>
      <c r="J228" s="52"/>
      <c r="K228" s="11"/>
      <c r="L228" s="8">
        <f t="shared" si="110"/>
        <v>0</v>
      </c>
      <c r="M228" s="8">
        <f t="shared" si="111"/>
        <v>0</v>
      </c>
      <c r="N228" s="8">
        <f t="shared" si="112"/>
        <v>0</v>
      </c>
      <c r="O228" s="8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31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39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31"/>
      <c r="CB228" s="31"/>
      <c r="CC228" s="31"/>
      <c r="CD228" s="12"/>
      <c r="CE228" s="12"/>
      <c r="CF228" s="12"/>
      <c r="CG228" s="12"/>
      <c r="CH228" s="12"/>
      <c r="CI228" s="12"/>
      <c r="CJ228" s="12"/>
      <c r="CK228" s="31"/>
      <c r="CL228" s="31"/>
      <c r="CM228" s="31"/>
      <c r="CN228" s="31"/>
      <c r="CO228" s="12"/>
      <c r="CP228" s="12"/>
      <c r="CQ228" s="12"/>
      <c r="CR228" s="12"/>
      <c r="CS228" s="12"/>
      <c r="CT228" s="12"/>
      <c r="CU228" s="12"/>
      <c r="CV228" s="12"/>
      <c r="CW228" s="12"/>
      <c r="CX228" s="180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81"/>
      <c r="DM228" s="181"/>
      <c r="DN228" s="181"/>
      <c r="DO228" s="181"/>
      <c r="DP228" s="181"/>
      <c r="DQ228" s="181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31"/>
      <c r="EE228" s="12"/>
      <c r="EF228" s="12"/>
      <c r="EG228" s="12"/>
      <c r="EH228" s="12"/>
      <c r="EI228" s="12"/>
      <c r="EJ228" s="23"/>
    </row>
    <row r="229" spans="1:140" ht="18" customHeight="1">
      <c r="A229" s="59">
        <v>29</v>
      </c>
      <c r="B229" s="59" t="s">
        <v>1533</v>
      </c>
      <c r="C229" s="51" t="s">
        <v>525</v>
      </c>
      <c r="D229" s="50">
        <f>3000-3000</f>
        <v>0</v>
      </c>
      <c r="E229" s="79">
        <v>40953</v>
      </c>
      <c r="F229" s="83" t="s">
        <v>1474</v>
      </c>
      <c r="G229" s="142"/>
      <c r="H229" s="52"/>
      <c r="I229" s="96"/>
      <c r="J229" s="52"/>
      <c r="K229" s="11"/>
      <c r="L229" s="8">
        <f t="shared" si="110"/>
        <v>0</v>
      </c>
      <c r="M229" s="8">
        <f t="shared" si="111"/>
        <v>0</v>
      </c>
      <c r="N229" s="8">
        <f t="shared" si="112"/>
        <v>0</v>
      </c>
      <c r="O229" s="8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31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39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31"/>
      <c r="CB229" s="31"/>
      <c r="CC229" s="31"/>
      <c r="CD229" s="12"/>
      <c r="CE229" s="12"/>
      <c r="CF229" s="12"/>
      <c r="CG229" s="12"/>
      <c r="CH229" s="12"/>
      <c r="CI229" s="12"/>
      <c r="CJ229" s="12"/>
      <c r="CK229" s="31"/>
      <c r="CL229" s="31"/>
      <c r="CM229" s="31"/>
      <c r="CN229" s="31"/>
      <c r="CO229" s="12"/>
      <c r="CP229" s="12"/>
      <c r="CQ229" s="12"/>
      <c r="CR229" s="12"/>
      <c r="CS229" s="12"/>
      <c r="CT229" s="12"/>
      <c r="CU229" s="12"/>
      <c r="CV229" s="12"/>
      <c r="CW229" s="12"/>
      <c r="CX229" s="180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81"/>
      <c r="DM229" s="181"/>
      <c r="DN229" s="181"/>
      <c r="DO229" s="181"/>
      <c r="DP229" s="181"/>
      <c r="DQ229" s="181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31"/>
      <c r="EE229" s="12"/>
      <c r="EF229" s="12"/>
      <c r="EG229" s="12"/>
      <c r="EH229" s="12"/>
      <c r="EI229" s="12"/>
      <c r="EJ229" s="23"/>
    </row>
    <row r="230" spans="1:140" ht="18" customHeight="1">
      <c r="A230" s="59">
        <v>30</v>
      </c>
      <c r="B230" s="59" t="s">
        <v>1533</v>
      </c>
      <c r="C230" s="51" t="s">
        <v>526</v>
      </c>
      <c r="D230" s="50">
        <f>3000-3000</f>
        <v>0</v>
      </c>
      <c r="E230" s="79">
        <v>40960</v>
      </c>
      <c r="F230" s="83" t="s">
        <v>1474</v>
      </c>
      <c r="G230" s="142"/>
      <c r="H230" s="52"/>
      <c r="I230" s="96"/>
      <c r="J230" s="52"/>
      <c r="K230" s="11"/>
      <c r="L230" s="8">
        <f t="shared" si="110"/>
        <v>0</v>
      </c>
      <c r="M230" s="8">
        <f t="shared" si="111"/>
        <v>0</v>
      </c>
      <c r="N230" s="8">
        <f t="shared" si="112"/>
        <v>0</v>
      </c>
      <c r="O230" s="8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31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39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31"/>
      <c r="CB230" s="31"/>
      <c r="CC230" s="31"/>
      <c r="CD230" s="12"/>
      <c r="CE230" s="12"/>
      <c r="CF230" s="12"/>
      <c r="CG230" s="12"/>
      <c r="CH230" s="12"/>
      <c r="CI230" s="12"/>
      <c r="CJ230" s="12"/>
      <c r="CK230" s="31"/>
      <c r="CL230" s="31"/>
      <c r="CM230" s="31"/>
      <c r="CN230" s="31"/>
      <c r="CO230" s="12"/>
      <c r="CP230" s="12"/>
      <c r="CQ230" s="12"/>
      <c r="CR230" s="12"/>
      <c r="CS230" s="12"/>
      <c r="CT230" s="12"/>
      <c r="CU230" s="12"/>
      <c r="CV230" s="12"/>
      <c r="CW230" s="12"/>
      <c r="CX230" s="180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81"/>
      <c r="DM230" s="181"/>
      <c r="DN230" s="181"/>
      <c r="DO230" s="181"/>
      <c r="DP230" s="181"/>
      <c r="DQ230" s="181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31"/>
      <c r="EE230" s="12"/>
      <c r="EF230" s="12"/>
      <c r="EG230" s="12"/>
      <c r="EH230" s="12"/>
      <c r="EI230" s="12"/>
      <c r="EJ230" s="23"/>
    </row>
    <row r="231" spans="1:140" ht="18" customHeight="1">
      <c r="A231" s="59">
        <v>31</v>
      </c>
      <c r="B231" s="59" t="s">
        <v>1533</v>
      </c>
      <c r="C231" s="51" t="s">
        <v>528</v>
      </c>
      <c r="D231" s="50">
        <f>3000-3000</f>
        <v>0</v>
      </c>
      <c r="E231" s="79">
        <v>40977</v>
      </c>
      <c r="F231" s="83" t="s">
        <v>1474</v>
      </c>
      <c r="G231" s="142"/>
      <c r="H231" s="52"/>
      <c r="I231" s="96"/>
      <c r="J231" s="52"/>
      <c r="K231" s="11"/>
      <c r="L231" s="8">
        <f t="shared" si="110"/>
        <v>0</v>
      </c>
      <c r="M231" s="8">
        <f t="shared" si="111"/>
        <v>0</v>
      </c>
      <c r="N231" s="8">
        <f t="shared" si="112"/>
        <v>0</v>
      </c>
      <c r="O231" s="8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31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39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31"/>
      <c r="CB231" s="31"/>
      <c r="CC231" s="31"/>
      <c r="CD231" s="12"/>
      <c r="CE231" s="12"/>
      <c r="CF231" s="12"/>
      <c r="CG231" s="12"/>
      <c r="CH231" s="12"/>
      <c r="CI231" s="12"/>
      <c r="CJ231" s="12"/>
      <c r="CK231" s="31"/>
      <c r="CL231" s="31"/>
      <c r="CM231" s="31"/>
      <c r="CN231" s="31"/>
      <c r="CO231" s="12"/>
      <c r="CP231" s="12"/>
      <c r="CQ231" s="12"/>
      <c r="CR231" s="12"/>
      <c r="CS231" s="12"/>
      <c r="CT231" s="12"/>
      <c r="CU231" s="12"/>
      <c r="CV231" s="12"/>
      <c r="CW231" s="12"/>
      <c r="CX231" s="180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81"/>
      <c r="DM231" s="181"/>
      <c r="DN231" s="181"/>
      <c r="DO231" s="181"/>
      <c r="DP231" s="181"/>
      <c r="DQ231" s="181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31"/>
      <c r="EE231" s="12"/>
      <c r="EF231" s="12"/>
      <c r="EG231" s="12"/>
      <c r="EH231" s="12"/>
      <c r="EI231" s="12"/>
      <c r="EJ231" s="23"/>
    </row>
    <row r="232" spans="1:140" ht="18" customHeight="1">
      <c r="A232" s="59">
        <v>32</v>
      </c>
      <c r="B232" s="59" t="s">
        <v>1533</v>
      </c>
      <c r="C232" s="51" t="s">
        <v>529</v>
      </c>
      <c r="D232" s="50">
        <f>3000-3000</f>
        <v>0</v>
      </c>
      <c r="E232" s="79">
        <v>40977</v>
      </c>
      <c r="F232" s="83" t="s">
        <v>1548</v>
      </c>
      <c r="G232" s="142"/>
      <c r="H232" s="52"/>
      <c r="I232" s="96"/>
      <c r="J232" s="52"/>
      <c r="K232" s="11"/>
      <c r="L232" s="8">
        <f t="shared" si="110"/>
        <v>0</v>
      </c>
      <c r="M232" s="8">
        <f t="shared" si="111"/>
        <v>0</v>
      </c>
      <c r="N232" s="8">
        <f t="shared" si="112"/>
        <v>0</v>
      </c>
      <c r="O232" s="8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31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39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31"/>
      <c r="CB232" s="31"/>
      <c r="CC232" s="31"/>
      <c r="CD232" s="12"/>
      <c r="CE232" s="12"/>
      <c r="CF232" s="12"/>
      <c r="CG232" s="12"/>
      <c r="CH232" s="12"/>
      <c r="CI232" s="12"/>
      <c r="CJ232" s="12"/>
      <c r="CK232" s="31"/>
      <c r="CL232" s="31"/>
      <c r="CM232" s="31"/>
      <c r="CN232" s="31"/>
      <c r="CO232" s="12"/>
      <c r="CP232" s="12"/>
      <c r="CQ232" s="12"/>
      <c r="CR232" s="12"/>
      <c r="CS232" s="12"/>
      <c r="CT232" s="12"/>
      <c r="CU232" s="12"/>
      <c r="CV232" s="12"/>
      <c r="CW232" s="12"/>
      <c r="CX232" s="180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81"/>
      <c r="DM232" s="181"/>
      <c r="DN232" s="181"/>
      <c r="DO232" s="181"/>
      <c r="DP232" s="181"/>
      <c r="DQ232" s="181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31"/>
      <c r="EE232" s="12"/>
      <c r="EF232" s="12"/>
      <c r="EG232" s="12"/>
      <c r="EH232" s="12"/>
      <c r="EI232" s="12"/>
      <c r="EJ232" s="23"/>
    </row>
    <row r="233" spans="1:140" s="32" customFormat="1" ht="22.5" customHeight="1">
      <c r="A233" s="59">
        <v>33</v>
      </c>
      <c r="B233" s="52" t="s">
        <v>1533</v>
      </c>
      <c r="C233" s="51" t="s">
        <v>1563</v>
      </c>
      <c r="D233" s="50">
        <f>1000-1000</f>
        <v>0</v>
      </c>
      <c r="E233" s="80" t="s">
        <v>1564</v>
      </c>
      <c r="F233" s="52"/>
      <c r="G233" s="141"/>
      <c r="H233" s="52"/>
      <c r="I233" s="98"/>
      <c r="J233" s="52"/>
      <c r="K233" s="30"/>
      <c r="L233" s="29">
        <f t="shared" si="110"/>
        <v>0</v>
      </c>
      <c r="M233" s="29">
        <f t="shared" si="111"/>
        <v>0</v>
      </c>
      <c r="N233" s="29">
        <f t="shared" si="112"/>
        <v>0</v>
      </c>
      <c r="O233" s="29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9"/>
      <c r="BM233" s="31"/>
      <c r="BN233" s="31"/>
      <c r="BO233" s="31"/>
      <c r="BP233" s="31"/>
      <c r="BQ233" s="31"/>
      <c r="BR233" s="31"/>
      <c r="BS233" s="31"/>
      <c r="BT233" s="31"/>
      <c r="BU233" s="31"/>
      <c r="BV233" s="31"/>
      <c r="BW233" s="31"/>
      <c r="BX233" s="31"/>
      <c r="BY233" s="31"/>
      <c r="BZ233" s="31"/>
      <c r="CA233" s="31"/>
      <c r="CB233" s="31"/>
      <c r="CC233" s="31"/>
      <c r="CD233" s="31"/>
      <c r="CE233" s="31"/>
      <c r="CF233" s="31"/>
      <c r="CG233" s="31"/>
      <c r="CH233" s="31"/>
      <c r="CI233" s="31"/>
      <c r="CJ233" s="31"/>
      <c r="CK233" s="31"/>
      <c r="CL233" s="31"/>
      <c r="CM233" s="31"/>
      <c r="CN233" s="31"/>
      <c r="CO233" s="31"/>
      <c r="CP233" s="31"/>
      <c r="CQ233" s="31"/>
      <c r="CR233" s="31"/>
      <c r="CS233" s="31"/>
      <c r="CT233" s="31"/>
      <c r="CU233" s="31"/>
      <c r="CV233" s="31"/>
      <c r="CW233" s="31"/>
      <c r="CX233" s="180"/>
      <c r="CY233" s="31"/>
      <c r="CZ233" s="31"/>
      <c r="DA233" s="31"/>
      <c r="DB233" s="31"/>
      <c r="DC233" s="31"/>
      <c r="DD233" s="31"/>
      <c r="DE233" s="31"/>
      <c r="DF233" s="31"/>
      <c r="DG233" s="31"/>
      <c r="DH233" s="31"/>
      <c r="DI233" s="31"/>
      <c r="DJ233" s="31"/>
      <c r="DK233" s="31"/>
      <c r="DL233" s="182"/>
      <c r="DM233" s="182"/>
      <c r="DN233" s="182"/>
      <c r="DO233" s="182"/>
      <c r="DP233" s="182"/>
      <c r="DQ233" s="182"/>
      <c r="DR233" s="31"/>
      <c r="DS233" s="31"/>
      <c r="DT233" s="31"/>
      <c r="DU233" s="31"/>
      <c r="DV233" s="31"/>
      <c r="DW233" s="31"/>
      <c r="DX233" s="31"/>
      <c r="DY233" s="31"/>
      <c r="DZ233" s="31"/>
      <c r="EA233" s="31"/>
      <c r="EB233" s="31"/>
      <c r="EC233" s="31"/>
      <c r="ED233" s="31"/>
      <c r="EE233" s="31"/>
      <c r="EF233" s="31"/>
      <c r="EG233" s="31"/>
      <c r="EH233" s="31"/>
      <c r="EI233" s="31"/>
      <c r="EJ233" s="28"/>
    </row>
    <row r="234" spans="1:140" s="32" customFormat="1" ht="18" customHeight="1">
      <c r="A234" s="59">
        <v>34</v>
      </c>
      <c r="B234" s="52" t="s">
        <v>1533</v>
      </c>
      <c r="C234" s="51" t="s">
        <v>1565</v>
      </c>
      <c r="D234" s="50">
        <f>3000-3000</f>
        <v>0</v>
      </c>
      <c r="E234" s="80">
        <v>41040</v>
      </c>
      <c r="F234" s="83" t="s">
        <v>1474</v>
      </c>
      <c r="G234" s="141"/>
      <c r="H234" s="52"/>
      <c r="I234" s="98"/>
      <c r="J234" s="52"/>
      <c r="K234" s="30"/>
      <c r="L234" s="29">
        <f t="shared" si="110"/>
        <v>0</v>
      </c>
      <c r="M234" s="29">
        <f t="shared" si="111"/>
        <v>0</v>
      </c>
      <c r="N234" s="29">
        <f t="shared" si="112"/>
        <v>0</v>
      </c>
      <c r="O234" s="29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  <c r="BR234" s="31"/>
      <c r="BS234" s="31"/>
      <c r="BT234" s="31"/>
      <c r="BU234" s="31"/>
      <c r="BV234" s="31"/>
      <c r="BW234" s="31"/>
      <c r="BX234" s="31"/>
      <c r="BY234" s="31"/>
      <c r="BZ234" s="31"/>
      <c r="CA234" s="31"/>
      <c r="CB234" s="31"/>
      <c r="CC234" s="31"/>
      <c r="CD234" s="31"/>
      <c r="CE234" s="31"/>
      <c r="CF234" s="31"/>
      <c r="CG234" s="31"/>
      <c r="CH234" s="31"/>
      <c r="CI234" s="31"/>
      <c r="CJ234" s="31"/>
      <c r="CK234" s="31"/>
      <c r="CL234" s="31"/>
      <c r="CM234" s="31"/>
      <c r="CN234" s="31"/>
      <c r="CO234" s="31"/>
      <c r="CP234" s="31"/>
      <c r="CQ234" s="31"/>
      <c r="CR234" s="31"/>
      <c r="CS234" s="31"/>
      <c r="CT234" s="31"/>
      <c r="CU234" s="31"/>
      <c r="CV234" s="31"/>
      <c r="CW234" s="31"/>
      <c r="CX234" s="183"/>
      <c r="CY234" s="31"/>
      <c r="CZ234" s="31"/>
      <c r="DA234" s="31"/>
      <c r="DB234" s="31"/>
      <c r="DC234" s="31"/>
      <c r="DD234" s="31"/>
      <c r="DE234" s="31"/>
      <c r="DF234" s="31"/>
      <c r="DG234" s="31"/>
      <c r="DH234" s="31"/>
      <c r="DI234" s="31"/>
      <c r="DJ234" s="31"/>
      <c r="DK234" s="31"/>
      <c r="DL234" s="182"/>
      <c r="DM234" s="182"/>
      <c r="DN234" s="182"/>
      <c r="DO234" s="182"/>
      <c r="DP234" s="182"/>
      <c r="DQ234" s="182"/>
      <c r="DR234" s="31"/>
      <c r="DS234" s="31"/>
      <c r="DT234" s="31"/>
      <c r="DU234" s="31"/>
      <c r="DV234" s="31"/>
      <c r="DW234" s="31"/>
      <c r="DX234" s="31"/>
      <c r="DY234" s="31"/>
      <c r="DZ234" s="31"/>
      <c r="EA234" s="31"/>
      <c r="EB234" s="31"/>
      <c r="EC234" s="31"/>
      <c r="ED234" s="31"/>
      <c r="EE234" s="31"/>
      <c r="EF234" s="31"/>
      <c r="EG234" s="31"/>
      <c r="EH234" s="31"/>
      <c r="EI234" s="31"/>
      <c r="EJ234" s="28"/>
    </row>
    <row r="235" spans="1:140" s="32" customFormat="1" ht="18" customHeight="1">
      <c r="A235" s="59">
        <v>35</v>
      </c>
      <c r="B235" s="52" t="s">
        <v>1533</v>
      </c>
      <c r="C235" s="51" t="s">
        <v>532</v>
      </c>
      <c r="D235" s="50">
        <f>3000-3000</f>
        <v>0</v>
      </c>
      <c r="E235" s="80">
        <v>41043</v>
      </c>
      <c r="F235" s="83" t="s">
        <v>1474</v>
      </c>
      <c r="G235" s="141"/>
      <c r="H235" s="52"/>
      <c r="I235" s="98"/>
      <c r="J235" s="52"/>
      <c r="K235" s="30"/>
      <c r="L235" s="29">
        <f t="shared" si="110"/>
        <v>0</v>
      </c>
      <c r="M235" s="29">
        <f t="shared" si="111"/>
        <v>0</v>
      </c>
      <c r="N235" s="29">
        <f t="shared" si="112"/>
        <v>0</v>
      </c>
      <c r="O235" s="29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9"/>
      <c r="BM235" s="31"/>
      <c r="BN235" s="31"/>
      <c r="BO235" s="31"/>
      <c r="BP235" s="31"/>
      <c r="BQ235" s="31"/>
      <c r="BR235" s="31"/>
      <c r="BS235" s="31"/>
      <c r="BT235" s="31"/>
      <c r="BU235" s="31"/>
      <c r="BV235" s="31"/>
      <c r="BW235" s="31"/>
      <c r="BX235" s="31"/>
      <c r="BY235" s="31"/>
      <c r="BZ235" s="31"/>
      <c r="CA235" s="31"/>
      <c r="CB235" s="31"/>
      <c r="CC235" s="31"/>
      <c r="CD235" s="31"/>
      <c r="CE235" s="31"/>
      <c r="CF235" s="31"/>
      <c r="CG235" s="31"/>
      <c r="CH235" s="31"/>
      <c r="CI235" s="31"/>
      <c r="CJ235" s="31"/>
      <c r="CK235" s="31"/>
      <c r="CL235" s="31"/>
      <c r="CM235" s="31"/>
      <c r="CN235" s="31"/>
      <c r="CO235" s="31"/>
      <c r="CP235" s="31"/>
      <c r="CQ235" s="31"/>
      <c r="CR235" s="31"/>
      <c r="CS235" s="31"/>
      <c r="CT235" s="31"/>
      <c r="CU235" s="31"/>
      <c r="CV235" s="31"/>
      <c r="CW235" s="31"/>
      <c r="CX235" s="180"/>
      <c r="CY235" s="31"/>
      <c r="CZ235" s="31"/>
      <c r="DA235" s="31"/>
      <c r="DB235" s="31"/>
      <c r="DC235" s="31"/>
      <c r="DD235" s="31"/>
      <c r="DE235" s="31"/>
      <c r="DF235" s="31"/>
      <c r="DG235" s="31"/>
      <c r="DH235" s="31"/>
      <c r="DI235" s="31"/>
      <c r="DJ235" s="31"/>
      <c r="DK235" s="31"/>
      <c r="DL235" s="182"/>
      <c r="DM235" s="182"/>
      <c r="DN235" s="182"/>
      <c r="DO235" s="182"/>
      <c r="DP235" s="182"/>
      <c r="DQ235" s="182"/>
      <c r="DR235" s="31"/>
      <c r="DS235" s="31"/>
      <c r="DT235" s="31"/>
      <c r="DU235" s="31"/>
      <c r="DV235" s="31"/>
      <c r="DW235" s="31"/>
      <c r="DX235" s="31"/>
      <c r="DY235" s="31"/>
      <c r="DZ235" s="31"/>
      <c r="EA235" s="31"/>
      <c r="EB235" s="31"/>
      <c r="EC235" s="31"/>
      <c r="ED235" s="31"/>
      <c r="EE235" s="31"/>
      <c r="EF235" s="31"/>
      <c r="EG235" s="31"/>
      <c r="EH235" s="31"/>
      <c r="EI235" s="31"/>
      <c r="EJ235" s="28"/>
    </row>
    <row r="236" spans="1:140" s="32" customFormat="1" ht="18" customHeight="1">
      <c r="A236" s="59">
        <v>36</v>
      </c>
      <c r="B236" s="52" t="s">
        <v>1533</v>
      </c>
      <c r="C236" s="51" t="s">
        <v>533</v>
      </c>
      <c r="D236" s="50">
        <f>3000-3000</f>
        <v>0</v>
      </c>
      <c r="E236" s="80">
        <v>41043</v>
      </c>
      <c r="F236" s="83" t="s">
        <v>1474</v>
      </c>
      <c r="G236" s="141"/>
      <c r="H236" s="52"/>
      <c r="I236" s="98"/>
      <c r="J236" s="52"/>
      <c r="K236" s="30"/>
      <c r="L236" s="29">
        <f t="shared" si="110"/>
        <v>0</v>
      </c>
      <c r="M236" s="29">
        <f t="shared" si="111"/>
        <v>0</v>
      </c>
      <c r="N236" s="29">
        <f t="shared" si="112"/>
        <v>0</v>
      </c>
      <c r="O236" s="29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9"/>
      <c r="BM236" s="31"/>
      <c r="BN236" s="31"/>
      <c r="BO236" s="31"/>
      <c r="BP236" s="31"/>
      <c r="BQ236" s="31"/>
      <c r="BR236" s="31"/>
      <c r="BS236" s="31"/>
      <c r="BT236" s="31"/>
      <c r="BU236" s="31"/>
      <c r="BV236" s="31"/>
      <c r="BW236" s="31"/>
      <c r="BX236" s="31"/>
      <c r="BY236" s="31"/>
      <c r="BZ236" s="31"/>
      <c r="CA236" s="31"/>
      <c r="CB236" s="31"/>
      <c r="CC236" s="31"/>
      <c r="CD236" s="31"/>
      <c r="CE236" s="31"/>
      <c r="CF236" s="31"/>
      <c r="CG236" s="31"/>
      <c r="CH236" s="31"/>
      <c r="CI236" s="31"/>
      <c r="CJ236" s="31"/>
      <c r="CK236" s="31"/>
      <c r="CL236" s="31"/>
      <c r="CM236" s="31"/>
      <c r="CN236" s="31"/>
      <c r="CO236" s="31"/>
      <c r="CP236" s="31"/>
      <c r="CQ236" s="31"/>
      <c r="CR236" s="31"/>
      <c r="CS236" s="31"/>
      <c r="CT236" s="31"/>
      <c r="CU236" s="31"/>
      <c r="CV236" s="31"/>
      <c r="CW236" s="31"/>
      <c r="CX236" s="180"/>
      <c r="CY236" s="31"/>
      <c r="CZ236" s="31"/>
      <c r="DA236" s="31"/>
      <c r="DB236" s="31"/>
      <c r="DC236" s="31"/>
      <c r="DD236" s="31"/>
      <c r="DE236" s="31"/>
      <c r="DF236" s="31"/>
      <c r="DG236" s="31"/>
      <c r="DH236" s="31"/>
      <c r="DI236" s="31"/>
      <c r="DJ236" s="31"/>
      <c r="DK236" s="31"/>
      <c r="DL236" s="182"/>
      <c r="DM236" s="182"/>
      <c r="DN236" s="182"/>
      <c r="DO236" s="182"/>
      <c r="DP236" s="182"/>
      <c r="DQ236" s="182"/>
      <c r="DR236" s="31"/>
      <c r="DS236" s="31"/>
      <c r="DT236" s="31"/>
      <c r="DU236" s="31"/>
      <c r="DV236" s="31"/>
      <c r="DW236" s="31"/>
      <c r="DX236" s="31"/>
      <c r="DY236" s="31"/>
      <c r="DZ236" s="31"/>
      <c r="EA236" s="31"/>
      <c r="EB236" s="31"/>
      <c r="EC236" s="31"/>
      <c r="ED236" s="31"/>
      <c r="EE236" s="31"/>
      <c r="EF236" s="31"/>
      <c r="EG236" s="31"/>
      <c r="EH236" s="31"/>
      <c r="EI236" s="31"/>
      <c r="EJ236" s="28"/>
    </row>
    <row r="237" spans="1:140" s="32" customFormat="1" ht="18" customHeight="1">
      <c r="A237" s="59">
        <v>37</v>
      </c>
      <c r="B237" s="52" t="s">
        <v>1533</v>
      </c>
      <c r="C237" s="51" t="s">
        <v>534</v>
      </c>
      <c r="D237" s="50">
        <f>3000-3000</f>
        <v>0</v>
      </c>
      <c r="E237" s="80">
        <v>41043</v>
      </c>
      <c r="F237" s="83" t="s">
        <v>1474</v>
      </c>
      <c r="G237" s="141"/>
      <c r="H237" s="52"/>
      <c r="I237" s="98"/>
      <c r="J237" s="52"/>
      <c r="K237" s="30"/>
      <c r="L237" s="29">
        <f t="shared" si="110"/>
        <v>0</v>
      </c>
      <c r="M237" s="29">
        <f t="shared" si="111"/>
        <v>0</v>
      </c>
      <c r="N237" s="29">
        <f t="shared" si="112"/>
        <v>0</v>
      </c>
      <c r="O237" s="29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9"/>
      <c r="BM237" s="31"/>
      <c r="BN237" s="31"/>
      <c r="BO237" s="31"/>
      <c r="BP237" s="31"/>
      <c r="BQ237" s="31"/>
      <c r="BR237" s="31"/>
      <c r="BS237" s="31"/>
      <c r="BT237" s="31"/>
      <c r="BU237" s="31"/>
      <c r="BV237" s="31"/>
      <c r="BW237" s="31"/>
      <c r="BX237" s="31"/>
      <c r="BY237" s="31"/>
      <c r="BZ237" s="31"/>
      <c r="CA237" s="31"/>
      <c r="CB237" s="31"/>
      <c r="CC237" s="31"/>
      <c r="CD237" s="31"/>
      <c r="CE237" s="31"/>
      <c r="CF237" s="31"/>
      <c r="CG237" s="31"/>
      <c r="CH237" s="31"/>
      <c r="CI237" s="31"/>
      <c r="CJ237" s="31"/>
      <c r="CK237" s="31"/>
      <c r="CL237" s="31"/>
      <c r="CM237" s="31"/>
      <c r="CN237" s="31"/>
      <c r="CO237" s="31"/>
      <c r="CP237" s="31"/>
      <c r="CQ237" s="31"/>
      <c r="CR237" s="31"/>
      <c r="CS237" s="31"/>
      <c r="CT237" s="31"/>
      <c r="CU237" s="31"/>
      <c r="CV237" s="31"/>
      <c r="CW237" s="31"/>
      <c r="CX237" s="180"/>
      <c r="CY237" s="31"/>
      <c r="CZ237" s="31"/>
      <c r="DA237" s="31"/>
      <c r="DB237" s="31"/>
      <c r="DC237" s="31"/>
      <c r="DD237" s="31"/>
      <c r="DE237" s="31"/>
      <c r="DF237" s="31"/>
      <c r="DG237" s="31"/>
      <c r="DH237" s="31"/>
      <c r="DI237" s="31"/>
      <c r="DJ237" s="31"/>
      <c r="DK237" s="31"/>
      <c r="DL237" s="182"/>
      <c r="DM237" s="182"/>
      <c r="DN237" s="182"/>
      <c r="DO237" s="182"/>
      <c r="DP237" s="182"/>
      <c r="DQ237" s="182"/>
      <c r="DR237" s="31"/>
      <c r="DS237" s="31"/>
      <c r="DT237" s="31"/>
      <c r="DU237" s="31"/>
      <c r="DV237" s="31"/>
      <c r="DW237" s="31"/>
      <c r="DX237" s="31"/>
      <c r="DY237" s="31"/>
      <c r="DZ237" s="31"/>
      <c r="EA237" s="31"/>
      <c r="EB237" s="31"/>
      <c r="EC237" s="31"/>
      <c r="ED237" s="31"/>
      <c r="EE237" s="31"/>
      <c r="EF237" s="31"/>
      <c r="EG237" s="31"/>
      <c r="EH237" s="31"/>
      <c r="EI237" s="31"/>
      <c r="EJ237" s="28"/>
    </row>
    <row r="238" spans="1:140" s="32" customFormat="1" ht="22.5" customHeight="1">
      <c r="A238" s="59">
        <v>38</v>
      </c>
      <c r="B238" s="52" t="s">
        <v>1533</v>
      </c>
      <c r="C238" s="51" t="s">
        <v>1566</v>
      </c>
      <c r="D238" s="50">
        <f>1000-1000</f>
        <v>0</v>
      </c>
      <c r="E238" s="80" t="s">
        <v>1567</v>
      </c>
      <c r="F238" s="52"/>
      <c r="G238" s="141"/>
      <c r="H238" s="52"/>
      <c r="I238" s="97"/>
      <c r="J238" s="52"/>
      <c r="K238" s="30"/>
      <c r="L238" s="29">
        <f t="shared" si="110"/>
        <v>0</v>
      </c>
      <c r="M238" s="29">
        <f t="shared" si="111"/>
        <v>0</v>
      </c>
      <c r="N238" s="29">
        <f t="shared" si="112"/>
        <v>0</v>
      </c>
      <c r="O238" s="29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9"/>
      <c r="BM238" s="31"/>
      <c r="BN238" s="31"/>
      <c r="BO238" s="31"/>
      <c r="BP238" s="31"/>
      <c r="BQ238" s="31"/>
      <c r="BR238" s="31"/>
      <c r="BS238" s="31"/>
      <c r="BT238" s="31"/>
      <c r="BU238" s="31"/>
      <c r="BV238" s="31"/>
      <c r="BW238" s="31"/>
      <c r="BX238" s="31"/>
      <c r="BY238" s="31"/>
      <c r="BZ238" s="31"/>
      <c r="CA238" s="31"/>
      <c r="CB238" s="31"/>
      <c r="CC238" s="31"/>
      <c r="CD238" s="31"/>
      <c r="CE238" s="31"/>
      <c r="CF238" s="31"/>
      <c r="CG238" s="31"/>
      <c r="CH238" s="31"/>
      <c r="CI238" s="31"/>
      <c r="CJ238" s="31"/>
      <c r="CK238" s="31"/>
      <c r="CL238" s="31"/>
      <c r="CM238" s="31"/>
      <c r="CN238" s="31"/>
      <c r="CO238" s="31"/>
      <c r="CP238" s="31"/>
      <c r="CQ238" s="31"/>
      <c r="CR238" s="31"/>
      <c r="CS238" s="31"/>
      <c r="CT238" s="31"/>
      <c r="CU238" s="31"/>
      <c r="CV238" s="31"/>
      <c r="CW238" s="31"/>
      <c r="CX238" s="180"/>
      <c r="CY238" s="31"/>
      <c r="CZ238" s="31"/>
      <c r="DA238" s="31"/>
      <c r="DB238" s="31"/>
      <c r="DC238" s="31"/>
      <c r="DD238" s="31"/>
      <c r="DE238" s="31"/>
      <c r="DF238" s="31"/>
      <c r="DG238" s="31"/>
      <c r="DH238" s="31"/>
      <c r="DI238" s="31"/>
      <c r="DJ238" s="31"/>
      <c r="DK238" s="31"/>
      <c r="DL238" s="182"/>
      <c r="DM238" s="182"/>
      <c r="DN238" s="182"/>
      <c r="DO238" s="182"/>
      <c r="DP238" s="182"/>
      <c r="DQ238" s="182"/>
      <c r="DR238" s="31"/>
      <c r="DS238" s="31"/>
      <c r="DT238" s="31"/>
      <c r="DU238" s="31"/>
      <c r="DV238" s="31"/>
      <c r="DW238" s="31"/>
      <c r="DX238" s="31"/>
      <c r="DY238" s="31"/>
      <c r="DZ238" s="31"/>
      <c r="EA238" s="31"/>
      <c r="EB238" s="31"/>
      <c r="EC238" s="31"/>
      <c r="ED238" s="31"/>
      <c r="EE238" s="31"/>
      <c r="EF238" s="31"/>
      <c r="EG238" s="31"/>
      <c r="EH238" s="31"/>
      <c r="EI238" s="31"/>
      <c r="EJ238" s="28"/>
    </row>
    <row r="239" spans="1:140" s="32" customFormat="1" ht="22.5" customHeight="1">
      <c r="A239" s="59">
        <v>39</v>
      </c>
      <c r="B239" s="59" t="s">
        <v>1533</v>
      </c>
      <c r="C239" s="51" t="s">
        <v>1568</v>
      </c>
      <c r="D239" s="50">
        <f>1000-1000</f>
        <v>0</v>
      </c>
      <c r="E239" s="80" t="s">
        <v>1567</v>
      </c>
      <c r="F239" s="52"/>
      <c r="G239" s="141"/>
      <c r="H239" s="52"/>
      <c r="I239" s="97"/>
      <c r="J239" s="52"/>
      <c r="K239" s="30"/>
      <c r="L239" s="29">
        <f t="shared" si="110"/>
        <v>0</v>
      </c>
      <c r="M239" s="29">
        <f t="shared" si="111"/>
        <v>0</v>
      </c>
      <c r="N239" s="29">
        <f t="shared" si="112"/>
        <v>0</v>
      </c>
      <c r="O239" s="29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9"/>
      <c r="BM239" s="31"/>
      <c r="BN239" s="31"/>
      <c r="BO239" s="31"/>
      <c r="BP239" s="31"/>
      <c r="BQ239" s="31"/>
      <c r="BR239" s="31"/>
      <c r="BS239" s="31"/>
      <c r="BT239" s="31"/>
      <c r="BU239" s="31"/>
      <c r="BV239" s="31"/>
      <c r="BW239" s="31"/>
      <c r="BX239" s="31"/>
      <c r="BY239" s="31"/>
      <c r="BZ239" s="31"/>
      <c r="CA239" s="31"/>
      <c r="CB239" s="31"/>
      <c r="CC239" s="31"/>
      <c r="CD239" s="31"/>
      <c r="CE239" s="31"/>
      <c r="CF239" s="31"/>
      <c r="CG239" s="31"/>
      <c r="CH239" s="31"/>
      <c r="CI239" s="31"/>
      <c r="CJ239" s="31"/>
      <c r="CK239" s="31"/>
      <c r="CL239" s="31"/>
      <c r="CM239" s="31"/>
      <c r="CN239" s="31"/>
      <c r="CO239" s="31"/>
      <c r="CP239" s="31"/>
      <c r="CQ239" s="31"/>
      <c r="CR239" s="31"/>
      <c r="CS239" s="31"/>
      <c r="CT239" s="31"/>
      <c r="CU239" s="31"/>
      <c r="CV239" s="31"/>
      <c r="CW239" s="31"/>
      <c r="CX239" s="180"/>
      <c r="CY239" s="31"/>
      <c r="CZ239" s="31"/>
      <c r="DA239" s="31"/>
      <c r="DB239" s="31"/>
      <c r="DC239" s="31"/>
      <c r="DD239" s="31"/>
      <c r="DE239" s="31"/>
      <c r="DF239" s="31"/>
      <c r="DG239" s="31"/>
      <c r="DH239" s="31"/>
      <c r="DI239" s="31"/>
      <c r="DJ239" s="31"/>
      <c r="DK239" s="31"/>
      <c r="DL239" s="182"/>
      <c r="DM239" s="182"/>
      <c r="DN239" s="182"/>
      <c r="DO239" s="182"/>
      <c r="DP239" s="182"/>
      <c r="DQ239" s="182"/>
      <c r="DR239" s="31"/>
      <c r="DS239" s="31"/>
      <c r="DT239" s="31"/>
      <c r="DU239" s="31"/>
      <c r="DV239" s="31"/>
      <c r="DW239" s="31"/>
      <c r="DX239" s="31"/>
      <c r="DY239" s="31"/>
      <c r="DZ239" s="31"/>
      <c r="EA239" s="31"/>
      <c r="EB239" s="31"/>
      <c r="EC239" s="31"/>
      <c r="ED239" s="31"/>
      <c r="EE239" s="31"/>
      <c r="EF239" s="31"/>
      <c r="EG239" s="31"/>
      <c r="EH239" s="31"/>
      <c r="EI239" s="31"/>
      <c r="EJ239" s="28"/>
    </row>
    <row r="240" spans="1:140" s="32" customFormat="1" ht="18" customHeight="1">
      <c r="A240" s="59">
        <v>40</v>
      </c>
      <c r="B240" s="52" t="s">
        <v>1533</v>
      </c>
      <c r="C240" s="51" t="s">
        <v>1569</v>
      </c>
      <c r="D240" s="50"/>
      <c r="E240" s="80">
        <v>41085</v>
      </c>
      <c r="F240" s="83" t="s">
        <v>1548</v>
      </c>
      <c r="G240" s="141"/>
      <c r="H240" s="52"/>
      <c r="I240" s="98"/>
      <c r="J240" s="52"/>
      <c r="K240" s="30"/>
      <c r="L240" s="29">
        <f>D240+G240+I240+K240</f>
        <v>0</v>
      </c>
      <c r="M240" s="29">
        <f>SUM(O240:DS240)</f>
        <v>0</v>
      </c>
      <c r="N240" s="29">
        <f>L240-M240</f>
        <v>0</v>
      </c>
      <c r="O240" s="29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9"/>
      <c r="BM240" s="31"/>
      <c r="BN240" s="31"/>
      <c r="BO240" s="31"/>
      <c r="BP240" s="31"/>
      <c r="BQ240" s="31"/>
      <c r="BR240" s="31"/>
      <c r="BS240" s="31"/>
      <c r="BT240" s="31"/>
      <c r="BU240" s="31"/>
      <c r="BV240" s="31"/>
      <c r="BW240" s="31"/>
      <c r="BX240" s="31"/>
      <c r="BY240" s="31"/>
      <c r="BZ240" s="31"/>
      <c r="CA240" s="31"/>
      <c r="CB240" s="31"/>
      <c r="CC240" s="31"/>
      <c r="CD240" s="31"/>
      <c r="CE240" s="31"/>
      <c r="CF240" s="31"/>
      <c r="CG240" s="31"/>
      <c r="CH240" s="31"/>
      <c r="CI240" s="31"/>
      <c r="CJ240" s="31"/>
      <c r="CK240" s="31"/>
      <c r="CL240" s="31"/>
      <c r="CM240" s="31"/>
      <c r="CN240" s="31"/>
      <c r="CO240" s="31"/>
      <c r="CP240" s="31"/>
      <c r="CQ240" s="31"/>
      <c r="CR240" s="31"/>
      <c r="CS240" s="31"/>
      <c r="CT240" s="31"/>
      <c r="CU240" s="31"/>
      <c r="CV240" s="31"/>
      <c r="CW240" s="31"/>
      <c r="CX240" s="180"/>
      <c r="CY240" s="31"/>
      <c r="CZ240" s="31"/>
      <c r="DA240" s="31"/>
      <c r="DB240" s="31"/>
      <c r="DC240" s="31"/>
      <c r="DD240" s="31"/>
      <c r="DE240" s="31"/>
      <c r="DF240" s="31"/>
      <c r="DG240" s="31"/>
      <c r="DH240" s="31"/>
      <c r="DI240" s="31"/>
      <c r="DJ240" s="31"/>
      <c r="DK240" s="31"/>
      <c r="DL240" s="182"/>
      <c r="DM240" s="182"/>
      <c r="DN240" s="182"/>
      <c r="DO240" s="182"/>
      <c r="DP240" s="182"/>
      <c r="DQ240" s="182"/>
      <c r="DR240" s="31"/>
      <c r="DS240" s="31"/>
      <c r="DT240" s="31"/>
      <c r="DU240" s="31"/>
      <c r="DV240" s="31"/>
      <c r="DW240" s="31"/>
      <c r="DX240" s="31"/>
      <c r="DY240" s="31"/>
      <c r="DZ240" s="31"/>
      <c r="EA240" s="31"/>
      <c r="EB240" s="31"/>
      <c r="EC240" s="31"/>
      <c r="ED240" s="31"/>
      <c r="EE240" s="31"/>
      <c r="EF240" s="31"/>
      <c r="EG240" s="31"/>
      <c r="EH240" s="31"/>
      <c r="EI240" s="31"/>
      <c r="EJ240" s="28"/>
    </row>
    <row r="241" spans="1:140" s="34" customFormat="1" ht="22.5" customHeight="1">
      <c r="A241" s="59">
        <v>41</v>
      </c>
      <c r="B241" s="52" t="s">
        <v>1533</v>
      </c>
      <c r="C241" s="51" t="s">
        <v>1570</v>
      </c>
      <c r="D241" s="50">
        <f>1200+300-1200-300</f>
        <v>0</v>
      </c>
      <c r="E241" s="80" t="s">
        <v>1571</v>
      </c>
      <c r="F241" s="80" t="s">
        <v>1572</v>
      </c>
      <c r="G241" s="141">
        <f>2500*12*95%-2500*12*95%</f>
        <v>0</v>
      </c>
      <c r="H241" s="80" t="s">
        <v>1573</v>
      </c>
      <c r="I241" s="89">
        <f>400*3-400*3</f>
        <v>0</v>
      </c>
      <c r="J241" s="51"/>
      <c r="L241" s="29">
        <f>D241+G241+I241+K241</f>
        <v>0</v>
      </c>
      <c r="M241" s="29">
        <f>SUM(O241:DS241)</f>
        <v>0</v>
      </c>
      <c r="N241" s="29">
        <f>L241-M241</f>
        <v>0</v>
      </c>
      <c r="AB241" s="34">
        <f t="shared" ref="AB241:AM241" si="113">2375-2375</f>
        <v>0</v>
      </c>
      <c r="AC241" s="34">
        <f t="shared" si="113"/>
        <v>0</v>
      </c>
      <c r="AD241" s="34">
        <f t="shared" si="113"/>
        <v>0</v>
      </c>
      <c r="AE241" s="34">
        <f t="shared" si="113"/>
        <v>0</v>
      </c>
      <c r="AF241" s="34">
        <f t="shared" si="113"/>
        <v>0</v>
      </c>
      <c r="AG241" s="34">
        <f t="shared" si="113"/>
        <v>0</v>
      </c>
      <c r="AH241" s="34">
        <f t="shared" si="113"/>
        <v>0</v>
      </c>
      <c r="AI241" s="34">
        <f t="shared" si="113"/>
        <v>0</v>
      </c>
      <c r="AJ241" s="34">
        <f t="shared" si="113"/>
        <v>0</v>
      </c>
      <c r="AK241" s="34">
        <f t="shared" si="113"/>
        <v>0</v>
      </c>
      <c r="AL241" s="34">
        <f t="shared" si="113"/>
        <v>0</v>
      </c>
      <c r="AM241" s="34">
        <f t="shared" si="113"/>
        <v>0</v>
      </c>
      <c r="BL241" s="39"/>
      <c r="BZ241" s="34">
        <f>400-400</f>
        <v>0</v>
      </c>
      <c r="CA241" s="34">
        <f>400-400</f>
        <v>0</v>
      </c>
      <c r="CB241" s="34">
        <f>400-400</f>
        <v>0</v>
      </c>
    </row>
    <row r="242" spans="1:140" s="32" customFormat="1" ht="22.5" customHeight="1">
      <c r="A242" s="59">
        <v>42</v>
      </c>
      <c r="B242" s="59" t="s">
        <v>1533</v>
      </c>
      <c r="C242" s="51" t="s">
        <v>1574</v>
      </c>
      <c r="D242" s="50">
        <f>1000-1000</f>
        <v>0</v>
      </c>
      <c r="E242" s="80" t="s">
        <v>1575</v>
      </c>
      <c r="F242" s="52"/>
      <c r="G242" s="141"/>
      <c r="H242" s="52"/>
      <c r="I242" s="89"/>
      <c r="J242" s="52"/>
      <c r="K242" s="30"/>
      <c r="L242" s="29">
        <f t="shared" si="110"/>
        <v>0</v>
      </c>
      <c r="M242" s="29">
        <f>SUM(O242:DX242)</f>
        <v>0</v>
      </c>
      <c r="N242" s="29">
        <f t="shared" si="112"/>
        <v>0</v>
      </c>
      <c r="O242" s="29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9"/>
      <c r="BM242" s="31"/>
      <c r="BN242" s="31"/>
      <c r="BO242" s="31"/>
      <c r="BP242" s="31"/>
      <c r="BQ242" s="31"/>
      <c r="BR242" s="31"/>
      <c r="BS242" s="31"/>
      <c r="BT242" s="31"/>
      <c r="BU242" s="31"/>
      <c r="BV242" s="31"/>
      <c r="BW242" s="31"/>
      <c r="BX242" s="31"/>
      <c r="BY242" s="31"/>
      <c r="BZ242" s="31"/>
      <c r="CA242" s="31"/>
      <c r="CB242" s="31"/>
      <c r="CC242" s="31"/>
      <c r="CD242" s="31"/>
      <c r="CE242" s="31"/>
      <c r="CF242" s="31"/>
      <c r="CG242" s="31"/>
      <c r="CH242" s="31"/>
      <c r="CI242" s="31"/>
      <c r="CJ242" s="31"/>
      <c r="CK242" s="31"/>
      <c r="CL242" s="31"/>
      <c r="CM242" s="31"/>
      <c r="CN242" s="31"/>
      <c r="CO242" s="31"/>
      <c r="CP242" s="31"/>
      <c r="CQ242" s="31"/>
      <c r="CR242" s="31"/>
      <c r="CS242" s="31"/>
      <c r="CT242" s="31"/>
      <c r="CU242" s="31"/>
      <c r="CV242" s="31"/>
      <c r="CW242" s="31"/>
      <c r="CX242" s="180"/>
      <c r="CY242" s="31"/>
      <c r="CZ242" s="31"/>
      <c r="DA242" s="31"/>
      <c r="DB242" s="31"/>
      <c r="DC242" s="31"/>
      <c r="DD242" s="31"/>
      <c r="DE242" s="31"/>
      <c r="DF242" s="31"/>
      <c r="DG242" s="31"/>
      <c r="DH242" s="31"/>
      <c r="DI242" s="31"/>
      <c r="DJ242" s="31"/>
      <c r="DK242" s="31"/>
      <c r="DL242" s="182"/>
      <c r="DM242" s="182"/>
      <c r="DN242" s="182"/>
      <c r="DO242" s="182"/>
      <c r="DP242" s="182"/>
      <c r="DQ242" s="182"/>
      <c r="DR242" s="31"/>
      <c r="DS242" s="31"/>
      <c r="DT242" s="31"/>
      <c r="DU242" s="31"/>
      <c r="DV242" s="31"/>
      <c r="DW242" s="31"/>
      <c r="DX242" s="31"/>
      <c r="DY242" s="31"/>
      <c r="DZ242" s="31"/>
      <c r="EA242" s="31"/>
      <c r="EB242" s="31"/>
      <c r="EC242" s="31"/>
      <c r="ED242" s="31"/>
      <c r="EE242" s="31"/>
      <c r="EF242" s="31"/>
      <c r="EG242" s="31"/>
      <c r="EH242" s="31"/>
      <c r="EI242" s="31"/>
      <c r="EJ242" s="28"/>
    </row>
    <row r="243" spans="1:140" s="32" customFormat="1" ht="22.5" customHeight="1">
      <c r="A243" s="59">
        <v>43</v>
      </c>
      <c r="B243" s="52" t="s">
        <v>1533</v>
      </c>
      <c r="C243" s="51" t="s">
        <v>1576</v>
      </c>
      <c r="D243" s="50">
        <f>1000-1000</f>
        <v>0</v>
      </c>
      <c r="E243" s="80" t="s">
        <v>1577</v>
      </c>
      <c r="F243" s="52"/>
      <c r="G243" s="141"/>
      <c r="H243" s="52"/>
      <c r="I243" s="89"/>
      <c r="J243" s="52"/>
      <c r="K243" s="30"/>
      <c r="L243" s="29">
        <f t="shared" si="110"/>
        <v>0</v>
      </c>
      <c r="M243" s="29">
        <f>SUM(O243:DX243)</f>
        <v>0</v>
      </c>
      <c r="N243" s="29">
        <f t="shared" si="112"/>
        <v>0</v>
      </c>
      <c r="O243" s="29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9"/>
      <c r="BM243" s="31"/>
      <c r="BN243" s="31"/>
      <c r="BO243" s="31"/>
      <c r="BP243" s="31"/>
      <c r="BQ243" s="31"/>
      <c r="BR243" s="31"/>
      <c r="BS243" s="31"/>
      <c r="BT243" s="31"/>
      <c r="BU243" s="31"/>
      <c r="BV243" s="31"/>
      <c r="BW243" s="31"/>
      <c r="BX243" s="31"/>
      <c r="BY243" s="31"/>
      <c r="BZ243" s="31"/>
      <c r="CA243" s="31"/>
      <c r="CB243" s="31"/>
      <c r="CC243" s="31"/>
      <c r="CD243" s="31"/>
      <c r="CE243" s="31"/>
      <c r="CF243" s="31"/>
      <c r="CG243" s="31"/>
      <c r="CH243" s="31"/>
      <c r="CI243" s="31"/>
      <c r="CJ243" s="31"/>
      <c r="CK243" s="31"/>
      <c r="CL243" s="31"/>
      <c r="CM243" s="31"/>
      <c r="CN243" s="31"/>
      <c r="CO243" s="31"/>
      <c r="CP243" s="31"/>
      <c r="CQ243" s="31"/>
      <c r="CR243" s="31"/>
      <c r="CS243" s="31"/>
      <c r="CT243" s="31"/>
      <c r="CU243" s="31"/>
      <c r="CV243" s="31"/>
      <c r="CW243" s="31"/>
      <c r="CX243" s="180"/>
      <c r="CY243" s="31"/>
      <c r="CZ243" s="31"/>
      <c r="DA243" s="31"/>
      <c r="DB243" s="31"/>
      <c r="DC243" s="31"/>
      <c r="DD243" s="31"/>
      <c r="DE243" s="31"/>
      <c r="DF243" s="31"/>
      <c r="DG243" s="31"/>
      <c r="DH243" s="31"/>
      <c r="DI243" s="31"/>
      <c r="DJ243" s="31"/>
      <c r="DK243" s="31"/>
      <c r="DL243" s="182"/>
      <c r="DM243" s="182"/>
      <c r="DN243" s="182"/>
      <c r="DO243" s="182"/>
      <c r="DP243" s="182"/>
      <c r="DQ243" s="182"/>
      <c r="DR243" s="31"/>
      <c r="DS243" s="31"/>
      <c r="DT243" s="31"/>
      <c r="DU243" s="31"/>
      <c r="DV243" s="31"/>
      <c r="DW243" s="31"/>
      <c r="DX243" s="31"/>
      <c r="DY243" s="31"/>
      <c r="DZ243" s="31"/>
      <c r="EA243" s="31"/>
      <c r="EB243" s="31"/>
      <c r="EC243" s="31"/>
      <c r="ED243" s="31"/>
      <c r="EE243" s="31"/>
      <c r="EF243" s="31"/>
      <c r="EG243" s="31"/>
      <c r="EH243" s="31"/>
      <c r="EI243" s="31"/>
      <c r="EJ243" s="28"/>
    </row>
    <row r="244" spans="1:140" s="32" customFormat="1" ht="18" customHeight="1">
      <c r="A244" s="59">
        <v>44</v>
      </c>
      <c r="B244" s="59" t="s">
        <v>1533</v>
      </c>
      <c r="C244" s="51" t="s">
        <v>530</v>
      </c>
      <c r="D244" s="50">
        <f>3000-3000</f>
        <v>0</v>
      </c>
      <c r="E244" s="80">
        <v>41004</v>
      </c>
      <c r="F244" s="83" t="s">
        <v>1474</v>
      </c>
      <c r="G244" s="141"/>
      <c r="H244" s="52"/>
      <c r="I244" s="89"/>
      <c r="J244" s="52"/>
      <c r="K244" s="30"/>
      <c r="L244" s="29">
        <f t="shared" si="110"/>
        <v>0</v>
      </c>
      <c r="M244" s="29">
        <f>SUM(O244:DS244)</f>
        <v>0</v>
      </c>
      <c r="N244" s="29">
        <f t="shared" si="112"/>
        <v>0</v>
      </c>
      <c r="O244" s="29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9"/>
      <c r="BM244" s="31"/>
      <c r="BN244" s="31"/>
      <c r="BO244" s="31"/>
      <c r="BP244" s="31"/>
      <c r="BQ244" s="31"/>
      <c r="BR244" s="31"/>
      <c r="BS244" s="31"/>
      <c r="BT244" s="31"/>
      <c r="BU244" s="31"/>
      <c r="BV244" s="31"/>
      <c r="BW244" s="31"/>
      <c r="BX244" s="31"/>
      <c r="BY244" s="31"/>
      <c r="BZ244" s="31"/>
      <c r="CA244" s="31"/>
      <c r="CB244" s="31"/>
      <c r="CC244" s="31"/>
      <c r="CD244" s="31"/>
      <c r="CE244" s="31"/>
      <c r="CF244" s="31"/>
      <c r="CG244" s="31"/>
      <c r="CH244" s="31"/>
      <c r="CI244" s="31"/>
      <c r="CJ244" s="31"/>
      <c r="CK244" s="31"/>
      <c r="CL244" s="31"/>
      <c r="CM244" s="31"/>
      <c r="CN244" s="31"/>
      <c r="CO244" s="31"/>
      <c r="CP244" s="31"/>
      <c r="CQ244" s="31"/>
      <c r="CR244" s="31"/>
      <c r="CS244" s="31"/>
      <c r="CT244" s="31"/>
      <c r="CU244" s="31"/>
      <c r="CV244" s="31"/>
      <c r="CW244" s="31"/>
      <c r="CX244" s="180"/>
      <c r="CY244" s="31"/>
      <c r="CZ244" s="31"/>
      <c r="DA244" s="31"/>
      <c r="DB244" s="31"/>
      <c r="DC244" s="31"/>
      <c r="DD244" s="31"/>
      <c r="DE244" s="31"/>
      <c r="DF244" s="31"/>
      <c r="DG244" s="31"/>
      <c r="DH244" s="31"/>
      <c r="DI244" s="31"/>
      <c r="DJ244" s="31"/>
      <c r="DK244" s="31"/>
      <c r="DL244" s="182"/>
      <c r="DM244" s="182"/>
      <c r="DN244" s="182"/>
      <c r="DO244" s="182"/>
      <c r="DP244" s="182"/>
      <c r="DQ244" s="182"/>
      <c r="DR244" s="31"/>
      <c r="DS244" s="31"/>
      <c r="DT244" s="31"/>
      <c r="DU244" s="31"/>
      <c r="DV244" s="31"/>
      <c r="DW244" s="31"/>
      <c r="DX244" s="31"/>
      <c r="DY244" s="31"/>
      <c r="DZ244" s="31"/>
      <c r="EA244" s="31"/>
      <c r="EB244" s="31"/>
      <c r="EC244" s="31"/>
      <c r="ED244" s="31"/>
      <c r="EE244" s="31"/>
      <c r="EF244" s="31"/>
      <c r="EG244" s="31"/>
      <c r="EH244" s="31"/>
      <c r="EI244" s="31"/>
      <c r="EJ244" s="28"/>
    </row>
    <row r="245" spans="1:140" s="32" customFormat="1" ht="22.5" customHeight="1">
      <c r="A245" s="59">
        <v>45</v>
      </c>
      <c r="B245" s="59" t="s">
        <v>1533</v>
      </c>
      <c r="C245" s="51" t="s">
        <v>1578</v>
      </c>
      <c r="D245" s="50">
        <f>1200+300-150</f>
        <v>1350</v>
      </c>
      <c r="E245" s="80" t="s">
        <v>1579</v>
      </c>
      <c r="F245" s="52" t="s">
        <v>1580</v>
      </c>
      <c r="G245" s="141">
        <f>3000*1-1500</f>
        <v>1500</v>
      </c>
      <c r="H245" s="52" t="s">
        <v>1580</v>
      </c>
      <c r="I245" s="89">
        <f>400-150</f>
        <v>250</v>
      </c>
      <c r="J245" s="52"/>
      <c r="K245" s="30"/>
      <c r="L245" s="29">
        <f t="shared" si="110"/>
        <v>3100</v>
      </c>
      <c r="M245" s="29">
        <f>SUM(O245:DS245)</f>
        <v>1750</v>
      </c>
      <c r="N245" s="29">
        <f t="shared" si="112"/>
        <v>1350</v>
      </c>
      <c r="O245" s="29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>
        <f>3000-1500</f>
        <v>1500</v>
      </c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9"/>
      <c r="BM245" s="31"/>
      <c r="BN245" s="31"/>
      <c r="BO245" s="31"/>
      <c r="BP245" s="31"/>
      <c r="BQ245" s="31"/>
      <c r="BR245" s="31"/>
      <c r="BS245" s="31"/>
      <c r="BT245" s="31"/>
      <c r="BU245" s="31"/>
      <c r="BV245" s="31"/>
      <c r="BW245" s="31"/>
      <c r="BX245" s="31"/>
      <c r="BY245" s="31"/>
      <c r="BZ245" s="31"/>
      <c r="CA245" s="31"/>
      <c r="CB245" s="31">
        <f>400-150</f>
        <v>250</v>
      </c>
      <c r="CC245" s="31"/>
      <c r="CD245" s="31"/>
      <c r="CE245" s="31"/>
      <c r="CF245" s="31"/>
      <c r="CG245" s="31"/>
      <c r="CH245" s="31"/>
      <c r="CI245" s="31"/>
      <c r="CJ245" s="31"/>
      <c r="CK245" s="31"/>
      <c r="CL245" s="31"/>
      <c r="CM245" s="31"/>
      <c r="CN245" s="31"/>
      <c r="CO245" s="31"/>
      <c r="CP245" s="31"/>
      <c r="CQ245" s="31"/>
      <c r="CR245" s="31"/>
      <c r="CS245" s="31"/>
      <c r="CT245" s="31"/>
      <c r="CU245" s="31"/>
      <c r="CV245" s="31"/>
      <c r="CW245" s="31"/>
      <c r="CX245" s="180"/>
      <c r="CY245" s="31"/>
      <c r="CZ245" s="31"/>
      <c r="DA245" s="31"/>
      <c r="DB245" s="31"/>
      <c r="DC245" s="31"/>
      <c r="DD245" s="31"/>
      <c r="DE245" s="31"/>
      <c r="DF245" s="31"/>
      <c r="DG245" s="31"/>
      <c r="DH245" s="31"/>
      <c r="DI245" s="31"/>
      <c r="DJ245" s="31"/>
      <c r="DK245" s="31"/>
      <c r="DL245" s="182"/>
      <c r="DM245" s="182"/>
      <c r="DN245" s="182"/>
      <c r="DO245" s="182"/>
      <c r="DP245" s="182"/>
      <c r="DQ245" s="182"/>
      <c r="DR245" s="31"/>
      <c r="DS245" s="31"/>
      <c r="DT245" s="31"/>
      <c r="DU245" s="31"/>
      <c r="DV245" s="31"/>
      <c r="DW245" s="31"/>
      <c r="DX245" s="31"/>
      <c r="DY245" s="31"/>
      <c r="DZ245" s="31"/>
      <c r="EA245" s="31"/>
      <c r="EB245" s="31"/>
      <c r="EC245" s="31"/>
      <c r="ED245" s="31"/>
      <c r="EE245" s="31"/>
      <c r="EF245" s="31"/>
      <c r="EG245" s="31"/>
      <c r="EH245" s="31"/>
      <c r="EI245" s="31"/>
      <c r="EJ245" s="28"/>
    </row>
    <row r="246" spans="1:140" ht="18" customHeight="1">
      <c r="A246" s="59">
        <v>46</v>
      </c>
      <c r="B246" s="59" t="s">
        <v>1533</v>
      </c>
      <c r="C246" s="51" t="s">
        <v>524</v>
      </c>
      <c r="D246" s="50">
        <f>1500-1500</f>
        <v>0</v>
      </c>
      <c r="E246" s="79">
        <v>40758</v>
      </c>
      <c r="F246" s="83"/>
      <c r="G246" s="142"/>
      <c r="H246" s="52"/>
      <c r="I246" s="89"/>
      <c r="J246" s="52"/>
      <c r="K246" s="11"/>
      <c r="L246" s="8">
        <f t="shared" si="110"/>
        <v>0</v>
      </c>
      <c r="M246" s="8">
        <f>SUM(O246:DS246)</f>
        <v>0</v>
      </c>
      <c r="N246" s="8">
        <f t="shared" si="112"/>
        <v>0</v>
      </c>
      <c r="O246" s="8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31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39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31"/>
      <c r="CB246" s="31"/>
      <c r="CC246" s="31"/>
      <c r="CD246" s="12"/>
      <c r="CE246" s="12"/>
      <c r="CF246" s="12"/>
      <c r="CG246" s="12"/>
      <c r="CH246" s="12"/>
      <c r="CI246" s="12"/>
      <c r="CJ246" s="12"/>
      <c r="CK246" s="31"/>
      <c r="CL246" s="31"/>
      <c r="CM246" s="31"/>
      <c r="CN246" s="31"/>
      <c r="CO246" s="12"/>
      <c r="CP246" s="12"/>
      <c r="CQ246" s="12"/>
      <c r="CR246" s="12"/>
      <c r="CS246" s="12"/>
      <c r="CT246" s="12"/>
      <c r="CU246" s="12"/>
      <c r="CV246" s="12"/>
      <c r="CW246" s="12"/>
      <c r="CX246" s="180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81"/>
      <c r="DM246" s="181"/>
      <c r="DN246" s="181"/>
      <c r="DO246" s="181"/>
      <c r="DP246" s="181"/>
      <c r="DQ246" s="181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31"/>
      <c r="EE246" s="12"/>
      <c r="EF246" s="12"/>
      <c r="EG246" s="12"/>
      <c r="EH246" s="12"/>
      <c r="EI246" s="12"/>
      <c r="EJ246" s="23"/>
    </row>
    <row r="247" spans="1:140" ht="22.5" customHeight="1">
      <c r="A247" s="59">
        <v>47</v>
      </c>
      <c r="B247" s="59" t="s">
        <v>1533</v>
      </c>
      <c r="C247" s="51" t="s">
        <v>1581</v>
      </c>
      <c r="D247" s="89">
        <f>1200+300-600-150</f>
        <v>750</v>
      </c>
      <c r="E247" s="58" t="s">
        <v>1582</v>
      </c>
      <c r="F247" s="52" t="s">
        <v>1583</v>
      </c>
      <c r="G247" s="142">
        <f>4000+5000-5000</f>
        <v>4000</v>
      </c>
      <c r="H247" s="52" t="s">
        <v>1583</v>
      </c>
      <c r="I247" s="89">
        <f>400+400-400</f>
        <v>400</v>
      </c>
      <c r="J247" s="52"/>
      <c r="K247" s="11"/>
      <c r="L247" s="8">
        <f t="shared" si="110"/>
        <v>5150</v>
      </c>
      <c r="M247" s="8">
        <f>SUM(O247:DX247)</f>
        <v>4400</v>
      </c>
      <c r="N247" s="8">
        <f t="shared" si="112"/>
        <v>750</v>
      </c>
      <c r="O247" s="8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D247" s="12">
        <v>4000</v>
      </c>
      <c r="AE247" s="12">
        <f>5000-5000</f>
        <v>0</v>
      </c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39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31">
        <v>400</v>
      </c>
      <c r="CB247" s="31">
        <f>400-400</f>
        <v>0</v>
      </c>
      <c r="CC247" s="31"/>
      <c r="CD247" s="12"/>
      <c r="CE247" s="12"/>
      <c r="CF247" s="12"/>
      <c r="CG247" s="12"/>
      <c r="CH247" s="12"/>
      <c r="CI247" s="12"/>
      <c r="CJ247" s="12"/>
      <c r="CK247" s="31"/>
      <c r="CL247" s="31"/>
      <c r="CM247" s="31"/>
      <c r="CN247" s="31"/>
      <c r="CO247" s="12"/>
      <c r="CP247" s="12"/>
      <c r="CQ247" s="12"/>
      <c r="CR247" s="12"/>
      <c r="CS247" s="12"/>
      <c r="CT247" s="12"/>
      <c r="CU247" s="12"/>
      <c r="CV247" s="12"/>
      <c r="CW247" s="12"/>
      <c r="CX247" s="180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81"/>
      <c r="DM247" s="181"/>
      <c r="DN247" s="181"/>
      <c r="DO247" s="181"/>
      <c r="DP247" s="181"/>
      <c r="DQ247" s="181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31"/>
      <c r="EE247" s="12"/>
      <c r="EF247" s="12"/>
      <c r="EG247" s="12"/>
      <c r="EH247" s="12"/>
      <c r="EI247" s="12"/>
      <c r="EJ247" s="23"/>
    </row>
    <row r="248" spans="1:140" ht="18" customHeight="1">
      <c r="A248" s="59">
        <v>48</v>
      </c>
      <c r="B248" s="59" t="s">
        <v>1533</v>
      </c>
      <c r="C248" s="51" t="s">
        <v>1584</v>
      </c>
      <c r="D248" s="50">
        <f>1500-1500</f>
        <v>0</v>
      </c>
      <c r="E248" s="80">
        <v>40711</v>
      </c>
      <c r="F248" s="83" t="s">
        <v>1474</v>
      </c>
      <c r="G248" s="142"/>
      <c r="H248" s="52"/>
      <c r="I248" s="89"/>
      <c r="J248" s="52"/>
      <c r="K248" s="11"/>
      <c r="L248" s="8">
        <f t="shared" si="110"/>
        <v>0</v>
      </c>
      <c r="M248" s="8">
        <f>SUM(O248:DS248)</f>
        <v>0</v>
      </c>
      <c r="N248" s="8">
        <f t="shared" si="112"/>
        <v>0</v>
      </c>
      <c r="O248" s="8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31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39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31"/>
      <c r="CB248" s="31"/>
      <c r="CC248" s="31"/>
      <c r="CD248" s="12"/>
      <c r="CE248" s="12"/>
      <c r="CF248" s="12"/>
      <c r="CG248" s="12"/>
      <c r="CH248" s="12"/>
      <c r="CI248" s="12"/>
      <c r="CJ248" s="12"/>
      <c r="CK248" s="31"/>
      <c r="CL248" s="31"/>
      <c r="CM248" s="31"/>
      <c r="CN248" s="31"/>
      <c r="CO248" s="12"/>
      <c r="CP248" s="12"/>
      <c r="CQ248" s="12"/>
      <c r="CR248" s="12"/>
      <c r="CS248" s="12"/>
      <c r="CT248" s="12"/>
      <c r="CU248" s="12"/>
      <c r="CV248" s="12"/>
      <c r="CW248" s="12"/>
      <c r="CX248" s="180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81"/>
      <c r="DM248" s="181"/>
      <c r="DN248" s="181"/>
      <c r="DO248" s="181"/>
      <c r="DP248" s="181"/>
      <c r="DQ248" s="181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31"/>
      <c r="EE248" s="12"/>
      <c r="EF248" s="12"/>
      <c r="EG248" s="12"/>
      <c r="EH248" s="12"/>
      <c r="EI248" s="12"/>
      <c r="EJ248" s="23"/>
    </row>
    <row r="249" spans="1:140" ht="22.5" customHeight="1">
      <c r="A249" s="59">
        <v>49</v>
      </c>
      <c r="B249" s="59" t="s">
        <v>1533</v>
      </c>
      <c r="C249" s="54" t="s">
        <v>1585</v>
      </c>
      <c r="D249" s="50">
        <f>1200+300</f>
        <v>1500</v>
      </c>
      <c r="E249" s="79" t="s">
        <v>1586</v>
      </c>
      <c r="F249" s="59" t="s">
        <v>1130</v>
      </c>
      <c r="G249" s="142">
        <f>1250*6-1250</f>
        <v>6250</v>
      </c>
      <c r="H249" s="52" t="s">
        <v>1130</v>
      </c>
      <c r="I249" s="89">
        <f>400*6-400</f>
        <v>2000</v>
      </c>
      <c r="J249" s="52"/>
      <c r="K249" s="11"/>
      <c r="L249" s="8">
        <f t="shared" si="110"/>
        <v>9750</v>
      </c>
      <c r="M249" s="29">
        <f>SUM(O249:DX249)</f>
        <v>8250</v>
      </c>
      <c r="N249" s="29">
        <f t="shared" si="112"/>
        <v>1500</v>
      </c>
      <c r="O249" s="8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31"/>
      <c r="AB249" s="31">
        <v>1250</v>
      </c>
      <c r="AC249" s="31">
        <v>1250</v>
      </c>
      <c r="AD249" s="31">
        <v>1250</v>
      </c>
      <c r="AE249" s="31">
        <v>1250</v>
      </c>
      <c r="AF249" s="31">
        <v>1250</v>
      </c>
      <c r="AG249" s="31">
        <f>1250-1250</f>
        <v>0</v>
      </c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9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>
        <v>400</v>
      </c>
      <c r="CA249" s="12">
        <v>400</v>
      </c>
      <c r="CB249" s="12">
        <v>400</v>
      </c>
      <c r="CC249" s="12">
        <v>400</v>
      </c>
      <c r="CD249" s="12">
        <v>400</v>
      </c>
      <c r="CE249" s="12">
        <f>400-400</f>
        <v>0</v>
      </c>
      <c r="CF249" s="12"/>
      <c r="CG249" s="12"/>
      <c r="CH249" s="12"/>
      <c r="CI249" s="12"/>
      <c r="CJ249" s="12"/>
      <c r="CK249" s="31"/>
      <c r="CL249" s="31"/>
      <c r="CM249" s="31"/>
      <c r="CN249" s="31"/>
      <c r="CO249" s="12"/>
      <c r="CP249" s="12"/>
      <c r="CQ249" s="12"/>
      <c r="CR249" s="12"/>
      <c r="CS249" s="12"/>
      <c r="CT249" s="12"/>
      <c r="CU249" s="12"/>
      <c r="CV249" s="12"/>
      <c r="CW249" s="12"/>
      <c r="CX249" s="180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31"/>
      <c r="EE249" s="12"/>
      <c r="EF249" s="12"/>
      <c r="EG249" s="12"/>
      <c r="EH249" s="12"/>
      <c r="EI249" s="12"/>
      <c r="EJ249" s="23"/>
    </row>
    <row r="250" spans="1:140" ht="18" customHeight="1">
      <c r="A250" s="59">
        <v>50</v>
      </c>
      <c r="B250" s="59" t="s">
        <v>1533</v>
      </c>
      <c r="C250" s="50" t="s">
        <v>1587</v>
      </c>
      <c r="D250" s="50">
        <f>1500+1000+300</f>
        <v>2800</v>
      </c>
      <c r="E250" s="79" t="s">
        <v>1588</v>
      </c>
      <c r="F250" s="59" t="s">
        <v>1589</v>
      </c>
      <c r="G250" s="138">
        <f>37800-8050-3150-6300+2000*6</f>
        <v>32300</v>
      </c>
      <c r="H250" s="52" t="s">
        <v>1589</v>
      </c>
      <c r="I250" s="89">
        <f>1980-693+2520+400+400-47+400+400+400</f>
        <v>5760</v>
      </c>
      <c r="J250" s="52" t="s">
        <v>1590</v>
      </c>
      <c r="K250" s="8">
        <f>900-300+1800+200*6</f>
        <v>3600</v>
      </c>
      <c r="L250" s="8">
        <f t="shared" si="110"/>
        <v>44460</v>
      </c>
      <c r="M250" s="8">
        <f>SUM(O250:DS250)</f>
        <v>42060</v>
      </c>
      <c r="N250" s="8">
        <f t="shared" si="112"/>
        <v>2400</v>
      </c>
      <c r="O250" s="8"/>
      <c r="P250" s="8"/>
      <c r="Q250" s="8">
        <v>3150</v>
      </c>
      <c r="R250" s="8">
        <v>3150</v>
      </c>
      <c r="S250" s="8"/>
      <c r="T250" s="8">
        <v>2000</v>
      </c>
      <c r="U250" s="8">
        <v>2000</v>
      </c>
      <c r="V250" s="8">
        <v>2000</v>
      </c>
      <c r="W250" s="8">
        <v>1000</v>
      </c>
      <c r="X250" s="8">
        <v>1000</v>
      </c>
      <c r="Y250" s="8">
        <v>2000</v>
      </c>
      <c r="Z250" s="8">
        <v>2000</v>
      </c>
      <c r="AA250" s="8">
        <v>2000</v>
      </c>
      <c r="AB250" s="8">
        <v>2000</v>
      </c>
      <c r="AC250" s="8">
        <v>2000</v>
      </c>
      <c r="AD250" s="29">
        <v>2000</v>
      </c>
      <c r="AE250" s="8">
        <v>2000</v>
      </c>
      <c r="AF250" s="8">
        <v>2000</v>
      </c>
      <c r="AG250" s="8">
        <v>2000</v>
      </c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38"/>
      <c r="BM250" s="8"/>
      <c r="BN250" s="8"/>
      <c r="BO250" s="8">
        <v>660</v>
      </c>
      <c r="BP250" s="8">
        <v>660</v>
      </c>
      <c r="BQ250" s="8"/>
      <c r="BR250" s="8">
        <f>360-33</f>
        <v>327</v>
      </c>
      <c r="BS250" s="8">
        <v>360</v>
      </c>
      <c r="BT250" s="8">
        <v>360</v>
      </c>
      <c r="BU250" s="8">
        <v>180</v>
      </c>
      <c r="BV250" s="8">
        <f>180-15</f>
        <v>165</v>
      </c>
      <c r="BW250" s="8">
        <v>360</v>
      </c>
      <c r="BX250" s="8">
        <f>360-32</f>
        <v>328</v>
      </c>
      <c r="BY250" s="8">
        <v>360</v>
      </c>
      <c r="BZ250" s="8">
        <v>400</v>
      </c>
      <c r="CA250" s="29">
        <f>400</f>
        <v>400</v>
      </c>
      <c r="CB250" s="29">
        <f>400</f>
        <v>400</v>
      </c>
      <c r="CC250" s="29">
        <f>400</f>
        <v>400</v>
      </c>
      <c r="CD250" s="29">
        <f>400</f>
        <v>400</v>
      </c>
      <c r="CE250" s="29">
        <f>400</f>
        <v>400</v>
      </c>
      <c r="CF250" s="8"/>
      <c r="CG250" s="8"/>
      <c r="CH250" s="8"/>
      <c r="CI250" s="8"/>
      <c r="CJ250" s="8"/>
      <c r="CK250" s="29"/>
      <c r="CL250" s="29"/>
      <c r="CM250" s="29"/>
      <c r="CN250" s="29"/>
      <c r="CO250" s="8"/>
      <c r="CP250" s="8"/>
      <c r="CQ250" s="8"/>
      <c r="CR250" s="8"/>
      <c r="CS250" s="8"/>
      <c r="CT250" s="8"/>
      <c r="CU250" s="8"/>
      <c r="CV250" s="8"/>
      <c r="CW250" s="8"/>
      <c r="CX250" s="178"/>
      <c r="CY250" s="8"/>
      <c r="CZ250" s="8"/>
      <c r="DA250" s="8"/>
      <c r="DB250" s="8">
        <v>300</v>
      </c>
      <c r="DC250" s="8"/>
      <c r="DD250" s="8">
        <v>300</v>
      </c>
      <c r="DE250" s="8">
        <v>300</v>
      </c>
      <c r="DF250" s="8">
        <v>300</v>
      </c>
      <c r="DG250" s="8">
        <v>150</v>
      </c>
      <c r="DH250" s="8">
        <v>150</v>
      </c>
      <c r="DI250" s="8">
        <v>300</v>
      </c>
      <c r="DJ250" s="8">
        <v>300</v>
      </c>
      <c r="DK250" s="8">
        <v>300</v>
      </c>
      <c r="DL250" s="179">
        <v>200</v>
      </c>
      <c r="DM250" s="179">
        <v>200</v>
      </c>
      <c r="DN250" s="179">
        <v>200</v>
      </c>
      <c r="DO250" s="179">
        <v>200</v>
      </c>
      <c r="DP250" s="179">
        <v>200</v>
      </c>
      <c r="DQ250" s="179">
        <v>200</v>
      </c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29"/>
      <c r="EE250" s="8"/>
      <c r="EF250" s="8"/>
      <c r="EG250" s="8"/>
      <c r="EH250" s="8"/>
      <c r="EI250" s="8"/>
      <c r="EJ250" s="23"/>
    </row>
    <row r="251" spans="1:140" s="32" customFormat="1" ht="18" customHeight="1">
      <c r="A251" s="59">
        <v>51</v>
      </c>
      <c r="B251" s="59" t="s">
        <v>1533</v>
      </c>
      <c r="C251" s="50" t="s">
        <v>1591</v>
      </c>
      <c r="D251" s="50">
        <f>1200+300-200+200</f>
        <v>1500</v>
      </c>
      <c r="E251" s="80" t="s">
        <v>1592</v>
      </c>
      <c r="F251" s="52" t="s">
        <v>1593</v>
      </c>
      <c r="G251" s="139">
        <f>3360*12-3000*6-360*6+3000*6-1500-180-45-1500-2500</f>
        <v>32435</v>
      </c>
      <c r="H251" s="52" t="s">
        <v>1130</v>
      </c>
      <c r="I251" s="89">
        <f>400*6-75-315-400</f>
        <v>1610</v>
      </c>
      <c r="J251" s="52"/>
      <c r="K251" s="29"/>
      <c r="L251" s="29">
        <f t="shared" si="110"/>
        <v>35545</v>
      </c>
      <c r="M251" s="29">
        <f>SUM(O251:DS251)</f>
        <v>34045</v>
      </c>
      <c r="N251" s="29">
        <f t="shared" si="112"/>
        <v>1500</v>
      </c>
      <c r="O251" s="29"/>
      <c r="P251" s="29"/>
      <c r="Q251" s="29"/>
      <c r="R251" s="29"/>
      <c r="S251" s="29"/>
      <c r="T251" s="29"/>
      <c r="U251" s="29">
        <v>3360</v>
      </c>
      <c r="V251" s="29">
        <v>3360</v>
      </c>
      <c r="W251" s="29">
        <v>1680</v>
      </c>
      <c r="X251" s="29">
        <v>1680</v>
      </c>
      <c r="Y251" s="29">
        <f>3360-1500-45-180</f>
        <v>1635</v>
      </c>
      <c r="Z251" s="29">
        <v>3360</v>
      </c>
      <c r="AA251" s="29">
        <v>3360</v>
      </c>
      <c r="AB251" s="29">
        <v>3000</v>
      </c>
      <c r="AC251" s="29">
        <v>3000</v>
      </c>
      <c r="AD251" s="29">
        <v>3000</v>
      </c>
      <c r="AE251" s="29">
        <v>3000</v>
      </c>
      <c r="AF251" s="29">
        <f>3000/2</f>
        <v>1500</v>
      </c>
      <c r="AG251" s="29">
        <f>3000-2500</f>
        <v>500</v>
      </c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38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>
        <v>400</v>
      </c>
      <c r="CA251" s="29">
        <v>400</v>
      </c>
      <c r="CB251" s="29">
        <v>400</v>
      </c>
      <c r="CC251" s="29">
        <f>400-75</f>
        <v>325</v>
      </c>
      <c r="CD251" s="29">
        <f>400-315</f>
        <v>85</v>
      </c>
      <c r="CE251" s="29">
        <f>400-400</f>
        <v>0</v>
      </c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178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8"/>
      <c r="DM251" s="28"/>
      <c r="DN251" s="28"/>
      <c r="DO251" s="28"/>
      <c r="DP251" s="28"/>
      <c r="DQ251" s="28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8"/>
    </row>
    <row r="252" spans="1:140" s="34" customFormat="1" ht="22.5" customHeight="1">
      <c r="A252" s="59">
        <v>52</v>
      </c>
      <c r="B252" s="59" t="s">
        <v>1533</v>
      </c>
      <c r="C252" s="51" t="s">
        <v>1594</v>
      </c>
      <c r="D252" s="50">
        <f>1200+300</f>
        <v>1500</v>
      </c>
      <c r="E252" s="52" t="s">
        <v>1595</v>
      </c>
      <c r="F252" s="52" t="s">
        <v>1130</v>
      </c>
      <c r="G252" s="141">
        <f>3500*6-1750-1750-3000-3000</f>
        <v>11500</v>
      </c>
      <c r="H252" s="80" t="s">
        <v>1130</v>
      </c>
      <c r="I252" s="89">
        <f>400+400*2+400*3-180-165-400-400</f>
        <v>1255</v>
      </c>
      <c r="J252" s="52" t="s">
        <v>1130</v>
      </c>
      <c r="K252" s="30">
        <f>200*6-200-200</f>
        <v>800</v>
      </c>
      <c r="L252" s="29">
        <f t="shared" si="110"/>
        <v>15055</v>
      </c>
      <c r="M252" s="29">
        <f>SUM(O252:DX252)</f>
        <v>13555</v>
      </c>
      <c r="N252" s="29">
        <f t="shared" si="112"/>
        <v>1500</v>
      </c>
      <c r="AA252" s="31"/>
      <c r="AB252" s="31">
        <f>3500/2</f>
        <v>1750</v>
      </c>
      <c r="AC252" s="31">
        <v>3500</v>
      </c>
      <c r="AD252" s="31">
        <v>3500</v>
      </c>
      <c r="AE252" s="31">
        <f>3500/2</f>
        <v>1750</v>
      </c>
      <c r="AF252" s="31">
        <f>3500-3000</f>
        <v>500</v>
      </c>
      <c r="AG252" s="31">
        <f>3500-3000</f>
        <v>500</v>
      </c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6"/>
      <c r="BY252" s="12"/>
      <c r="BZ252" s="12">
        <f>400-180</f>
        <v>220</v>
      </c>
      <c r="CA252" s="12">
        <v>400</v>
      </c>
      <c r="CB252" s="12">
        <v>400</v>
      </c>
      <c r="CC252" s="12">
        <f>400-165</f>
        <v>235</v>
      </c>
      <c r="CD252" s="12">
        <f>400-400</f>
        <v>0</v>
      </c>
      <c r="CE252" s="12">
        <f>400-400</f>
        <v>0</v>
      </c>
      <c r="CF252" s="12"/>
      <c r="CG252" s="12"/>
      <c r="CH252" s="12"/>
      <c r="CI252" s="12"/>
      <c r="CJ252" s="12"/>
      <c r="CK252" s="31"/>
      <c r="CL252" s="31"/>
      <c r="CM252" s="31"/>
      <c r="CN252" s="31"/>
      <c r="CO252" s="12"/>
      <c r="CP252" s="12"/>
      <c r="CQ252" s="12"/>
      <c r="CR252" s="12"/>
      <c r="CS252" s="12"/>
      <c r="CT252" s="12"/>
      <c r="CU252" s="12"/>
      <c r="CV252" s="12"/>
      <c r="CW252" s="12"/>
      <c r="CX252" s="36"/>
      <c r="DK252" s="12"/>
      <c r="DL252" s="12">
        <v>200</v>
      </c>
      <c r="DM252" s="12">
        <v>200</v>
      </c>
      <c r="DN252" s="12">
        <v>200</v>
      </c>
      <c r="DO252" s="12">
        <v>200</v>
      </c>
      <c r="DP252" s="12">
        <f>200-200</f>
        <v>0</v>
      </c>
      <c r="DQ252" s="12">
        <f>200-200</f>
        <v>0</v>
      </c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31"/>
      <c r="EE252" s="12"/>
      <c r="EF252" s="12"/>
      <c r="EG252" s="12"/>
      <c r="EH252" s="12"/>
      <c r="EI252" s="12"/>
    </row>
    <row r="253" spans="1:140" ht="22.5" customHeight="1">
      <c r="A253" s="59">
        <v>53</v>
      </c>
      <c r="B253" s="59" t="s">
        <v>1533</v>
      </c>
      <c r="C253" s="54" t="s">
        <v>1596</v>
      </c>
      <c r="D253" s="50">
        <f>1200+300</f>
        <v>1500</v>
      </c>
      <c r="E253" s="79" t="s">
        <v>1597</v>
      </c>
      <c r="F253" s="59" t="s">
        <v>1598</v>
      </c>
      <c r="G253" s="142">
        <f>2500*6-10000</f>
        <v>5000</v>
      </c>
      <c r="H253" s="52" t="s">
        <v>1599</v>
      </c>
      <c r="I253" s="89">
        <f>400+400-475</f>
        <v>325</v>
      </c>
      <c r="J253" s="52"/>
      <c r="K253" s="11"/>
      <c r="L253" s="8">
        <f t="shared" si="110"/>
        <v>6825</v>
      </c>
      <c r="M253" s="29">
        <f>SUM(O253:DX253)</f>
        <v>5325</v>
      </c>
      <c r="N253" s="29">
        <f t="shared" si="112"/>
        <v>1500</v>
      </c>
      <c r="O253" s="8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31"/>
      <c r="AB253" s="31">
        <v>2500</v>
      </c>
      <c r="AC253" s="31">
        <v>2500</v>
      </c>
      <c r="AD253" s="31">
        <f t="shared" ref="AD253:AG254" si="114">2500-2500</f>
        <v>0</v>
      </c>
      <c r="AE253" s="31">
        <f t="shared" si="114"/>
        <v>0</v>
      </c>
      <c r="AF253" s="31">
        <f t="shared" si="114"/>
        <v>0</v>
      </c>
      <c r="AG253" s="31">
        <f t="shared" si="114"/>
        <v>0</v>
      </c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9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>
        <f>400-75</f>
        <v>325</v>
      </c>
      <c r="CA253" s="12">
        <f>400-400</f>
        <v>0</v>
      </c>
      <c r="CB253" s="12"/>
      <c r="CC253" s="12"/>
      <c r="CD253" s="12"/>
      <c r="CE253" s="12"/>
      <c r="CF253" s="12"/>
      <c r="CG253" s="12"/>
      <c r="CH253" s="12"/>
      <c r="CI253" s="12"/>
      <c r="CJ253" s="12"/>
      <c r="CK253" s="31"/>
      <c r="CL253" s="31"/>
      <c r="CM253" s="31"/>
      <c r="CN253" s="31"/>
      <c r="CO253" s="12"/>
      <c r="CP253" s="12"/>
      <c r="CQ253" s="12"/>
      <c r="CR253" s="12"/>
      <c r="CS253" s="12"/>
      <c r="CT253" s="12"/>
      <c r="CU253" s="12"/>
      <c r="CV253" s="12"/>
      <c r="CW253" s="12"/>
      <c r="CX253" s="180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31"/>
      <c r="EE253" s="12"/>
      <c r="EF253" s="12"/>
      <c r="EG253" s="12"/>
      <c r="EH253" s="12"/>
      <c r="EI253" s="12"/>
      <c r="EJ253" s="23"/>
    </row>
    <row r="254" spans="1:140" ht="22.5" customHeight="1">
      <c r="A254" s="59">
        <v>54</v>
      </c>
      <c r="B254" s="59" t="s">
        <v>1533</v>
      </c>
      <c r="C254" s="54" t="s">
        <v>1600</v>
      </c>
      <c r="D254" s="50">
        <f>1200+300</f>
        <v>1500</v>
      </c>
      <c r="E254" s="79" t="s">
        <v>1597</v>
      </c>
      <c r="F254" s="59" t="s">
        <v>1598</v>
      </c>
      <c r="G254" s="142">
        <f>2500*6-10000</f>
        <v>5000</v>
      </c>
      <c r="H254" s="52" t="s">
        <v>1599</v>
      </c>
      <c r="I254" s="89">
        <f>400+400-475</f>
        <v>325</v>
      </c>
      <c r="J254" s="52"/>
      <c r="K254" s="11"/>
      <c r="L254" s="8">
        <f t="shared" si="110"/>
        <v>6825</v>
      </c>
      <c r="M254" s="29">
        <f>SUM(O254:DX254)</f>
        <v>5325</v>
      </c>
      <c r="N254" s="29">
        <f t="shared" si="112"/>
        <v>1500</v>
      </c>
      <c r="O254" s="8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31"/>
      <c r="AB254" s="31">
        <v>2500</v>
      </c>
      <c r="AC254" s="31">
        <v>2500</v>
      </c>
      <c r="AD254" s="31">
        <f t="shared" si="114"/>
        <v>0</v>
      </c>
      <c r="AE254" s="31">
        <f t="shared" si="114"/>
        <v>0</v>
      </c>
      <c r="AF254" s="31">
        <f t="shared" si="114"/>
        <v>0</v>
      </c>
      <c r="AG254" s="31">
        <f t="shared" si="114"/>
        <v>0</v>
      </c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9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>
        <f>400-75</f>
        <v>325</v>
      </c>
      <c r="CA254" s="12">
        <f>400-400</f>
        <v>0</v>
      </c>
      <c r="CB254" s="12"/>
      <c r="CC254" s="12"/>
      <c r="CD254" s="12"/>
      <c r="CE254" s="12"/>
      <c r="CF254" s="12"/>
      <c r="CG254" s="12"/>
      <c r="CH254" s="12"/>
      <c r="CI254" s="12"/>
      <c r="CJ254" s="12"/>
      <c r="CK254" s="31"/>
      <c r="CL254" s="31"/>
      <c r="CM254" s="31"/>
      <c r="CN254" s="31"/>
      <c r="CO254" s="12"/>
      <c r="CP254" s="12"/>
      <c r="CQ254" s="12"/>
      <c r="CR254" s="12"/>
      <c r="CS254" s="12"/>
      <c r="CT254" s="12"/>
      <c r="CU254" s="12"/>
      <c r="CV254" s="12"/>
      <c r="CW254" s="12"/>
      <c r="CX254" s="180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31"/>
      <c r="EE254" s="12"/>
      <c r="EF254" s="12"/>
      <c r="EG254" s="12"/>
      <c r="EH254" s="12"/>
      <c r="EI254" s="12"/>
      <c r="EJ254" s="23"/>
    </row>
    <row r="255" spans="1:140" s="32" customFormat="1" ht="22.5" customHeight="1">
      <c r="A255" s="59">
        <v>55</v>
      </c>
      <c r="B255" s="59" t="s">
        <v>1533</v>
      </c>
      <c r="C255" s="51" t="s">
        <v>1601</v>
      </c>
      <c r="D255" s="50">
        <f>1200+600-1200-600</f>
        <v>0</v>
      </c>
      <c r="E255" s="80" t="s">
        <v>1602</v>
      </c>
      <c r="F255" s="51" t="s">
        <v>1603</v>
      </c>
      <c r="G255" s="141">
        <f>5000*11*0.85-4250*10</f>
        <v>4250</v>
      </c>
      <c r="H255" s="52" t="s">
        <v>1604</v>
      </c>
      <c r="I255" s="89">
        <f>400*5-400*5</f>
        <v>0</v>
      </c>
      <c r="J255" s="52"/>
      <c r="K255" s="30"/>
      <c r="L255" s="29">
        <f t="shared" si="110"/>
        <v>4250</v>
      </c>
      <c r="M255" s="29">
        <f>SUM(O255:DS255)</f>
        <v>4250</v>
      </c>
      <c r="N255" s="29">
        <f t="shared" si="112"/>
        <v>0</v>
      </c>
      <c r="O255" s="29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>
        <f>5000*0.85</f>
        <v>4250</v>
      </c>
      <c r="AJ255" s="31">
        <f t="shared" ref="AJ255:AS255" si="115">5000*0.85-4250</f>
        <v>0</v>
      </c>
      <c r="AK255" s="31">
        <f t="shared" si="115"/>
        <v>0</v>
      </c>
      <c r="AL255" s="31">
        <f t="shared" si="115"/>
        <v>0</v>
      </c>
      <c r="AM255" s="31">
        <f t="shared" si="115"/>
        <v>0</v>
      </c>
      <c r="AN255" s="31">
        <f t="shared" si="115"/>
        <v>0</v>
      </c>
      <c r="AO255" s="31">
        <f t="shared" si="115"/>
        <v>0</v>
      </c>
      <c r="AP255" s="31">
        <f t="shared" si="115"/>
        <v>0</v>
      </c>
      <c r="AQ255" s="31">
        <f t="shared" si="115"/>
        <v>0</v>
      </c>
      <c r="AR255" s="31">
        <f t="shared" si="115"/>
        <v>0</v>
      </c>
      <c r="AS255" s="31">
        <f t="shared" si="115"/>
        <v>0</v>
      </c>
      <c r="AT255" s="31"/>
      <c r="AU255" s="31"/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9"/>
      <c r="BM255" s="31"/>
      <c r="BN255" s="31"/>
      <c r="BO255" s="31"/>
      <c r="BP255" s="31"/>
      <c r="BQ255" s="31"/>
      <c r="BR255" s="31"/>
      <c r="BS255" s="31"/>
      <c r="BT255" s="31"/>
      <c r="BU255" s="31"/>
      <c r="BV255" s="31"/>
      <c r="BW255" s="31"/>
      <c r="BX255" s="31"/>
      <c r="BY255" s="31"/>
      <c r="BZ255" s="31"/>
      <c r="CA255" s="31"/>
      <c r="CB255" s="31"/>
      <c r="CC255" s="31"/>
      <c r="CD255" s="31"/>
      <c r="CE255" s="31"/>
      <c r="CF255" s="31"/>
      <c r="CG255" s="12">
        <f>400-400</f>
        <v>0</v>
      </c>
      <c r="CH255" s="12">
        <f>400-400</f>
        <v>0</v>
      </c>
      <c r="CI255" s="12">
        <f>400-400</f>
        <v>0</v>
      </c>
      <c r="CJ255" s="12">
        <f>400-400</f>
        <v>0</v>
      </c>
      <c r="CK255" s="12">
        <f>400-400</f>
        <v>0</v>
      </c>
      <c r="CL255" s="31"/>
      <c r="CM255" s="31"/>
      <c r="CN255" s="31"/>
      <c r="CO255" s="31"/>
      <c r="CP255" s="31"/>
      <c r="CQ255" s="31"/>
      <c r="CR255" s="31"/>
      <c r="CS255" s="31"/>
      <c r="CT255" s="31"/>
      <c r="CU255" s="31"/>
      <c r="CV255" s="31"/>
      <c r="CW255" s="31"/>
      <c r="CX255" s="180"/>
      <c r="CY255" s="31"/>
      <c r="CZ255" s="31"/>
      <c r="DA255" s="31"/>
      <c r="DB255" s="31"/>
      <c r="DC255" s="31"/>
      <c r="DD255" s="31"/>
      <c r="DE255" s="31"/>
      <c r="DF255" s="31"/>
      <c r="DG255" s="31"/>
      <c r="DH255" s="31"/>
      <c r="DI255" s="31"/>
      <c r="DJ255" s="31"/>
      <c r="DK255" s="31"/>
      <c r="DL255" s="182"/>
      <c r="DM255" s="182"/>
      <c r="DN255" s="182"/>
      <c r="DO255" s="182"/>
      <c r="DP255" s="182"/>
      <c r="DQ255" s="182"/>
      <c r="DR255" s="31"/>
      <c r="DS255" s="31"/>
      <c r="DT255" s="31"/>
      <c r="DU255" s="31"/>
      <c r="DV255" s="31"/>
      <c r="DW255" s="31"/>
      <c r="DX255" s="31"/>
      <c r="DY255" s="31"/>
      <c r="DZ255" s="31"/>
      <c r="EA255" s="31"/>
      <c r="EB255" s="31"/>
      <c r="EC255" s="31"/>
      <c r="ED255" s="31"/>
      <c r="EE255" s="31"/>
      <c r="EF255" s="31"/>
      <c r="EG255" s="31"/>
      <c r="EH255" s="31"/>
      <c r="EI255" s="31"/>
      <c r="EJ255" s="28"/>
    </row>
    <row r="256" spans="1:140" ht="22.5" customHeight="1">
      <c r="A256" s="59">
        <v>56</v>
      </c>
      <c r="B256" s="59" t="s">
        <v>1533</v>
      </c>
      <c r="C256" s="54" t="s">
        <v>1605</v>
      </c>
      <c r="D256" s="50">
        <f>1200+300+300</f>
        <v>1800</v>
      </c>
      <c r="E256" s="79" t="s">
        <v>1606</v>
      </c>
      <c r="F256" s="59" t="s">
        <v>1607</v>
      </c>
      <c r="G256" s="142">
        <f>2500*10-2000-2500*4</f>
        <v>13000</v>
      </c>
      <c r="H256" s="52" t="s">
        <v>1608</v>
      </c>
      <c r="I256" s="89">
        <f>20*19+400+400+400+400*5-400-400*4</f>
        <v>1580</v>
      </c>
      <c r="J256" s="52"/>
      <c r="K256" s="11"/>
      <c r="L256" s="8">
        <f t="shared" si="110"/>
        <v>16380</v>
      </c>
      <c r="M256" s="29">
        <f>SUM(O256:DX256)</f>
        <v>14580</v>
      </c>
      <c r="N256" s="29">
        <f t="shared" si="112"/>
        <v>1800</v>
      </c>
      <c r="O256" s="8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31"/>
      <c r="AB256" s="31"/>
      <c r="AC256" s="31"/>
      <c r="AD256" s="31">
        <v>2500</v>
      </c>
      <c r="AE256" s="31">
        <v>2500</v>
      </c>
      <c r="AF256" s="31">
        <v>2500</v>
      </c>
      <c r="AG256" s="31">
        <f>2500-2000</f>
        <v>500</v>
      </c>
      <c r="AH256" s="31">
        <v>2500</v>
      </c>
      <c r="AI256" s="31">
        <v>2500</v>
      </c>
      <c r="AJ256" s="31">
        <f>2500-2500</f>
        <v>0</v>
      </c>
      <c r="AK256" s="31">
        <f>2500-2500</f>
        <v>0</v>
      </c>
      <c r="AL256" s="31">
        <f>2500-2500</f>
        <v>0</v>
      </c>
      <c r="AM256" s="31">
        <f>2500-2500</f>
        <v>0</v>
      </c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9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>
        <f>20*19</f>
        <v>380</v>
      </c>
      <c r="CC256" s="12">
        <v>400</v>
      </c>
      <c r="CD256" s="12">
        <v>400</v>
      </c>
      <c r="CE256" s="12">
        <f>400-400</f>
        <v>0</v>
      </c>
      <c r="CF256" s="12">
        <v>400</v>
      </c>
      <c r="CG256" s="12">
        <f>400-400</f>
        <v>0</v>
      </c>
      <c r="CH256" s="12">
        <f>400-400</f>
        <v>0</v>
      </c>
      <c r="CI256" s="12">
        <f>400-400</f>
        <v>0</v>
      </c>
      <c r="CJ256" s="12">
        <f>400-400</f>
        <v>0</v>
      </c>
      <c r="CK256" s="31"/>
      <c r="CL256" s="31"/>
      <c r="CM256" s="31"/>
      <c r="CN256" s="31"/>
      <c r="CO256" s="12"/>
      <c r="CP256" s="12"/>
      <c r="CQ256" s="12"/>
      <c r="CR256" s="12"/>
      <c r="CS256" s="12"/>
      <c r="CT256" s="12"/>
      <c r="CU256" s="12"/>
      <c r="CV256" s="12"/>
      <c r="CW256" s="12"/>
      <c r="CX256" s="180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31"/>
      <c r="EE256" s="12"/>
      <c r="EF256" s="12"/>
      <c r="EG256" s="12"/>
      <c r="EH256" s="12"/>
      <c r="EI256" s="12"/>
      <c r="EJ256" s="23"/>
    </row>
    <row r="257" spans="1:140" s="32" customFormat="1" ht="22.5" customHeight="1">
      <c r="A257" s="59">
        <v>57</v>
      </c>
      <c r="B257" s="59" t="s">
        <v>1533</v>
      </c>
      <c r="C257" s="51" t="s">
        <v>1609</v>
      </c>
      <c r="D257" s="50">
        <f>1000-1000</f>
        <v>0</v>
      </c>
      <c r="E257" s="80" t="s">
        <v>1610</v>
      </c>
      <c r="F257" s="52"/>
      <c r="G257" s="141"/>
      <c r="H257" s="52"/>
      <c r="I257" s="89"/>
      <c r="J257" s="52"/>
      <c r="K257" s="30"/>
      <c r="L257" s="29">
        <f t="shared" si="110"/>
        <v>0</v>
      </c>
      <c r="M257" s="29">
        <f>SUM(O257:DS257)</f>
        <v>0</v>
      </c>
      <c r="N257" s="29">
        <f t="shared" si="112"/>
        <v>0</v>
      </c>
      <c r="O257" s="29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9"/>
      <c r="BM257" s="31"/>
      <c r="BN257" s="31"/>
      <c r="BO257" s="31"/>
      <c r="BP257" s="31"/>
      <c r="BQ257" s="31"/>
      <c r="BR257" s="31"/>
      <c r="BS257" s="31"/>
      <c r="BT257" s="31"/>
      <c r="BU257" s="31"/>
      <c r="BV257" s="31"/>
      <c r="BW257" s="31"/>
      <c r="BX257" s="31"/>
      <c r="BY257" s="31"/>
      <c r="BZ257" s="31"/>
      <c r="CA257" s="31"/>
      <c r="CB257" s="31"/>
      <c r="CC257" s="31"/>
      <c r="CD257" s="31"/>
      <c r="CE257" s="31"/>
      <c r="CF257" s="31"/>
      <c r="CG257" s="31"/>
      <c r="CH257" s="31"/>
      <c r="CI257" s="31"/>
      <c r="CJ257" s="31"/>
      <c r="CK257" s="31"/>
      <c r="CL257" s="31"/>
      <c r="CM257" s="31"/>
      <c r="CN257" s="31"/>
      <c r="CO257" s="31"/>
      <c r="CP257" s="31"/>
      <c r="CQ257" s="31"/>
      <c r="CR257" s="31"/>
      <c r="CS257" s="31"/>
      <c r="CT257" s="31"/>
      <c r="CU257" s="31"/>
      <c r="CV257" s="31"/>
      <c r="CW257" s="31"/>
      <c r="CX257" s="180"/>
      <c r="CY257" s="31"/>
      <c r="CZ257" s="31"/>
      <c r="DA257" s="31"/>
      <c r="DB257" s="31"/>
      <c r="DC257" s="31"/>
      <c r="DD257" s="31"/>
      <c r="DE257" s="31"/>
      <c r="DF257" s="31"/>
      <c r="DG257" s="31"/>
      <c r="DH257" s="31"/>
      <c r="DI257" s="31"/>
      <c r="DJ257" s="31"/>
      <c r="DK257" s="31"/>
      <c r="DL257" s="182"/>
      <c r="DM257" s="182"/>
      <c r="DN257" s="182"/>
      <c r="DO257" s="182"/>
      <c r="DP257" s="182"/>
      <c r="DQ257" s="182"/>
      <c r="DR257" s="31"/>
      <c r="DS257" s="31"/>
      <c r="DT257" s="31"/>
      <c r="DU257" s="31"/>
      <c r="DV257" s="31"/>
      <c r="DW257" s="31"/>
      <c r="DX257" s="31"/>
      <c r="DY257" s="31"/>
      <c r="DZ257" s="31"/>
      <c r="EA257" s="31"/>
      <c r="EB257" s="31"/>
      <c r="EC257" s="31"/>
      <c r="ED257" s="31"/>
      <c r="EE257" s="31"/>
      <c r="EF257" s="31"/>
      <c r="EG257" s="31"/>
      <c r="EH257" s="31"/>
      <c r="EI257" s="31"/>
      <c r="EJ257" s="28"/>
    </row>
    <row r="258" spans="1:140" ht="22.5" customHeight="1">
      <c r="A258" s="59">
        <v>58</v>
      </c>
      <c r="B258" s="52" t="s">
        <v>1533</v>
      </c>
      <c r="C258" s="54" t="s">
        <v>1611</v>
      </c>
      <c r="D258" s="50">
        <f>1200+300+300</f>
        <v>1800</v>
      </c>
      <c r="E258" s="79" t="s">
        <v>1612</v>
      </c>
      <c r="F258" s="59" t="s">
        <v>1613</v>
      </c>
      <c r="G258" s="142">
        <f>2500*11-2000</f>
        <v>25500</v>
      </c>
      <c r="H258" s="52" t="s">
        <v>1614</v>
      </c>
      <c r="I258" s="89">
        <f>400+400+400+400-60+400-75+400*5-400-75-75-105</f>
        <v>3210</v>
      </c>
      <c r="J258" s="52"/>
      <c r="K258" s="11"/>
      <c r="L258" s="8">
        <f t="shared" si="110"/>
        <v>30510</v>
      </c>
      <c r="M258" s="29">
        <f>SUM(O258:DX258)</f>
        <v>28710</v>
      </c>
      <c r="N258" s="29">
        <f t="shared" si="112"/>
        <v>1800</v>
      </c>
      <c r="O258" s="8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31"/>
      <c r="AB258" s="31"/>
      <c r="AC258" s="31">
        <v>2500</v>
      </c>
      <c r="AD258" s="31">
        <v>2500</v>
      </c>
      <c r="AE258" s="31">
        <v>2500</v>
      </c>
      <c r="AF258" s="31">
        <v>2500</v>
      </c>
      <c r="AG258" s="31">
        <f>2500-2000</f>
        <v>500</v>
      </c>
      <c r="AH258" s="31">
        <v>2500</v>
      </c>
      <c r="AI258" s="31">
        <v>2500</v>
      </c>
      <c r="AJ258" s="31">
        <v>2500</v>
      </c>
      <c r="AK258" s="31">
        <v>2500</v>
      </c>
      <c r="AL258" s="31">
        <v>2500</v>
      </c>
      <c r="AM258" s="31">
        <v>2500</v>
      </c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9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>
        <v>400</v>
      </c>
      <c r="CB258" s="12">
        <f>400-60</f>
        <v>340</v>
      </c>
      <c r="CC258" s="12">
        <f>400-75</f>
        <v>325</v>
      </c>
      <c r="CD258" s="12">
        <v>400</v>
      </c>
      <c r="CE258" s="12">
        <f>400-400</f>
        <v>0</v>
      </c>
      <c r="CF258" s="12">
        <f>400-75</f>
        <v>325</v>
      </c>
      <c r="CG258" s="12">
        <f>400-75</f>
        <v>325</v>
      </c>
      <c r="CH258" s="12">
        <v>400</v>
      </c>
      <c r="CI258" s="12">
        <f>400-105</f>
        <v>295</v>
      </c>
      <c r="CJ258" s="12">
        <v>400</v>
      </c>
      <c r="CK258" s="31"/>
      <c r="CL258" s="31"/>
      <c r="CM258" s="31"/>
      <c r="CN258" s="31"/>
      <c r="CO258" s="12"/>
      <c r="CP258" s="12"/>
      <c r="CQ258" s="12"/>
      <c r="CR258" s="12"/>
      <c r="CS258" s="12"/>
      <c r="CT258" s="12"/>
      <c r="CU258" s="12"/>
      <c r="CV258" s="12"/>
      <c r="CW258" s="12"/>
      <c r="CX258" s="180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31"/>
      <c r="EE258" s="12"/>
      <c r="EF258" s="12"/>
      <c r="EG258" s="12"/>
      <c r="EH258" s="12"/>
      <c r="EI258" s="12"/>
      <c r="EJ258" s="23"/>
    </row>
    <row r="259" spans="1:140" s="28" customFormat="1" ht="18" customHeight="1">
      <c r="A259" s="59">
        <v>59</v>
      </c>
      <c r="B259" s="52" t="s">
        <v>1533</v>
      </c>
      <c r="C259" s="52" t="s">
        <v>1615</v>
      </c>
      <c r="D259" s="50">
        <f>1500+300</f>
        <v>1800</v>
      </c>
      <c r="E259" s="52" t="s">
        <v>1616</v>
      </c>
      <c r="F259" s="52" t="s">
        <v>1617</v>
      </c>
      <c r="G259" s="141">
        <f>2250*25-1750-2250*13</f>
        <v>25250</v>
      </c>
      <c r="H259" s="52" t="s">
        <v>1618</v>
      </c>
      <c r="I259" s="89">
        <f>400+400+400+400+400*2-90+400*5-45-135-400</f>
        <v>3730</v>
      </c>
      <c r="J259" s="52" t="s">
        <v>1617</v>
      </c>
      <c r="K259" s="30">
        <f>200*7-200+400*2+400*2</f>
        <v>2800</v>
      </c>
      <c r="L259" s="30">
        <f t="shared" si="110"/>
        <v>33580</v>
      </c>
      <c r="M259" s="29">
        <f>SUM(O259:DW259)</f>
        <v>31780</v>
      </c>
      <c r="N259" s="29">
        <f t="shared" si="112"/>
        <v>1800</v>
      </c>
      <c r="AA259" s="31">
        <v>2250</v>
      </c>
      <c r="AB259" s="31">
        <v>2250</v>
      </c>
      <c r="AC259" s="31">
        <v>2250</v>
      </c>
      <c r="AD259" s="31">
        <v>2250</v>
      </c>
      <c r="AE259" s="31">
        <v>2250</v>
      </c>
      <c r="AF259" s="31">
        <v>2250</v>
      </c>
      <c r="AG259" s="31">
        <f>2250-1750</f>
        <v>500</v>
      </c>
      <c r="AH259" s="31">
        <v>2250</v>
      </c>
      <c r="AI259" s="31">
        <v>2250</v>
      </c>
      <c r="AJ259" s="31">
        <v>2250</v>
      </c>
      <c r="AK259" s="31">
        <v>2250</v>
      </c>
      <c r="AL259" s="31">
        <v>2250</v>
      </c>
      <c r="AM259" s="31">
        <f t="shared" ref="AM259:AY260" si="116">2250-2250</f>
        <v>0</v>
      </c>
      <c r="AN259" s="31">
        <f t="shared" si="116"/>
        <v>0</v>
      </c>
      <c r="AO259" s="31">
        <f t="shared" si="116"/>
        <v>0</v>
      </c>
      <c r="AP259" s="31">
        <f t="shared" si="116"/>
        <v>0</v>
      </c>
      <c r="AQ259" s="31">
        <f t="shared" si="116"/>
        <v>0</v>
      </c>
      <c r="AR259" s="31">
        <f t="shared" si="116"/>
        <v>0</v>
      </c>
      <c r="AS259" s="31">
        <f t="shared" si="116"/>
        <v>0</v>
      </c>
      <c r="AT259" s="31">
        <f t="shared" si="116"/>
        <v>0</v>
      </c>
      <c r="AU259" s="31">
        <f t="shared" si="116"/>
        <v>0</v>
      </c>
      <c r="AV259" s="31">
        <f t="shared" si="116"/>
        <v>0</v>
      </c>
      <c r="AW259" s="31">
        <f t="shared" si="116"/>
        <v>0</v>
      </c>
      <c r="AX259" s="31">
        <f t="shared" si="116"/>
        <v>0</v>
      </c>
      <c r="AY259" s="31">
        <f t="shared" si="116"/>
        <v>0</v>
      </c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40"/>
      <c r="BY259" s="12">
        <v>400</v>
      </c>
      <c r="BZ259" s="12">
        <f>400-90</f>
        <v>310</v>
      </c>
      <c r="CA259" s="12">
        <v>400</v>
      </c>
      <c r="CB259" s="12">
        <v>400</v>
      </c>
      <c r="CC259" s="12">
        <f>400-45</f>
        <v>355</v>
      </c>
      <c r="CD259" s="12">
        <f>400-135</f>
        <v>265</v>
      </c>
      <c r="CE259" s="12"/>
      <c r="CF259" s="12">
        <v>400</v>
      </c>
      <c r="CG259" s="12">
        <v>400</v>
      </c>
      <c r="CH259" s="12">
        <v>400</v>
      </c>
      <c r="CI259" s="12">
        <v>400</v>
      </c>
      <c r="CJ259" s="12">
        <f>400-400</f>
        <v>0</v>
      </c>
      <c r="CK259" s="31"/>
      <c r="CL259" s="31"/>
      <c r="CM259" s="31"/>
      <c r="CN259" s="31"/>
      <c r="CO259" s="12"/>
      <c r="CP259" s="12"/>
      <c r="CQ259" s="12"/>
      <c r="CR259" s="12"/>
      <c r="CS259" s="12"/>
      <c r="CT259" s="12"/>
      <c r="CU259" s="12"/>
      <c r="CV259" s="12"/>
      <c r="CW259" s="12"/>
      <c r="CX259" s="40"/>
      <c r="DK259" s="12">
        <v>200</v>
      </c>
      <c r="DL259" s="12">
        <v>200</v>
      </c>
      <c r="DM259" s="12">
        <v>200</v>
      </c>
      <c r="DN259" s="12">
        <v>200</v>
      </c>
      <c r="DO259" s="12">
        <v>200</v>
      </c>
      <c r="DP259" s="12">
        <v>200</v>
      </c>
      <c r="DQ259" s="12">
        <f>200-200</f>
        <v>0</v>
      </c>
      <c r="DR259" s="12">
        <v>400</v>
      </c>
      <c r="DS259" s="12">
        <v>400</v>
      </c>
      <c r="DT259" s="12">
        <v>400</v>
      </c>
      <c r="DU259" s="12">
        <v>400</v>
      </c>
      <c r="DV259" s="12"/>
      <c r="DW259" s="12"/>
      <c r="DX259" s="12"/>
      <c r="DY259" s="12"/>
      <c r="DZ259" s="12"/>
      <c r="EA259" s="12"/>
      <c r="EB259" s="12"/>
      <c r="EC259" s="12"/>
      <c r="ED259" s="31"/>
      <c r="EE259" s="12"/>
      <c r="EF259" s="12"/>
      <c r="EG259" s="12"/>
      <c r="EH259" s="12"/>
      <c r="EI259" s="12"/>
    </row>
    <row r="260" spans="1:140" s="32" customFormat="1" ht="22.5" customHeight="1">
      <c r="A260" s="59">
        <v>60</v>
      </c>
      <c r="B260" s="52" t="s">
        <v>1533</v>
      </c>
      <c r="C260" s="51" t="s">
        <v>1619</v>
      </c>
      <c r="D260" s="50">
        <f>1200+300+300</f>
        <v>1800</v>
      </c>
      <c r="E260" s="80" t="s">
        <v>1620</v>
      </c>
      <c r="F260" s="52" t="s">
        <v>1621</v>
      </c>
      <c r="G260" s="141">
        <f>54000-1750-2250*13+2500</f>
        <v>25500</v>
      </c>
      <c r="H260" s="52" t="s">
        <v>1622</v>
      </c>
      <c r="I260" s="89">
        <f>400+400+400+400+400+400*2+400*2+400-400</f>
        <v>3600</v>
      </c>
      <c r="J260" s="52" t="s">
        <v>1572</v>
      </c>
      <c r="K260" s="30">
        <f>200*6+400*6-200-400</f>
        <v>3000</v>
      </c>
      <c r="L260" s="30">
        <f t="shared" si="110"/>
        <v>33900</v>
      </c>
      <c r="M260" s="29">
        <f>SUM(O260:DW260)</f>
        <v>32500</v>
      </c>
      <c r="N260" s="29">
        <f t="shared" si="112"/>
        <v>1400</v>
      </c>
      <c r="O260" s="29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>
        <v>2500</v>
      </c>
      <c r="AC260" s="31">
        <v>2250</v>
      </c>
      <c r="AD260" s="31">
        <v>2250</v>
      </c>
      <c r="AE260" s="31">
        <v>2250</v>
      </c>
      <c r="AF260" s="31">
        <v>2250</v>
      </c>
      <c r="AG260" s="31">
        <f>2250-1750</f>
        <v>500</v>
      </c>
      <c r="AH260" s="31">
        <v>2250</v>
      </c>
      <c r="AI260" s="31">
        <v>2250</v>
      </c>
      <c r="AJ260" s="31">
        <v>2250</v>
      </c>
      <c r="AK260" s="31">
        <v>2250</v>
      </c>
      <c r="AL260" s="31">
        <v>2250</v>
      </c>
      <c r="AM260" s="31">
        <v>2250</v>
      </c>
      <c r="AN260" s="31">
        <f t="shared" si="116"/>
        <v>0</v>
      </c>
      <c r="AO260" s="31">
        <f t="shared" si="116"/>
        <v>0</v>
      </c>
      <c r="AP260" s="31">
        <f t="shared" si="116"/>
        <v>0</v>
      </c>
      <c r="AQ260" s="31">
        <f t="shared" si="116"/>
        <v>0</v>
      </c>
      <c r="AR260" s="31">
        <f t="shared" si="116"/>
        <v>0</v>
      </c>
      <c r="AS260" s="31">
        <f t="shared" si="116"/>
        <v>0</v>
      </c>
      <c r="AT260" s="31">
        <f t="shared" si="116"/>
        <v>0</v>
      </c>
      <c r="AU260" s="31">
        <f t="shared" si="116"/>
        <v>0</v>
      </c>
      <c r="AV260" s="31">
        <f t="shared" si="116"/>
        <v>0</v>
      </c>
      <c r="AW260" s="31">
        <f t="shared" si="116"/>
        <v>0</v>
      </c>
      <c r="AX260" s="31">
        <f t="shared" si="116"/>
        <v>0</v>
      </c>
      <c r="AY260" s="31">
        <f t="shared" si="116"/>
        <v>0</v>
      </c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9"/>
      <c r="BM260" s="31"/>
      <c r="BN260" s="31"/>
      <c r="BO260" s="31"/>
      <c r="BP260" s="31"/>
      <c r="BQ260" s="31"/>
      <c r="BR260" s="31"/>
      <c r="BS260" s="31"/>
      <c r="BT260" s="31"/>
      <c r="BU260" s="31"/>
      <c r="BV260" s="31"/>
      <c r="BW260" s="31"/>
      <c r="BX260" s="31"/>
      <c r="BY260" s="12"/>
      <c r="BZ260" s="12">
        <v>400</v>
      </c>
      <c r="CA260" s="12">
        <v>400</v>
      </c>
      <c r="CB260" s="12">
        <v>400</v>
      </c>
      <c r="CC260" s="12">
        <v>400</v>
      </c>
      <c r="CD260" s="12">
        <v>400</v>
      </c>
      <c r="CE260" s="12"/>
      <c r="CF260" s="12">
        <v>400</v>
      </c>
      <c r="CG260" s="12">
        <v>400</v>
      </c>
      <c r="CH260" s="12">
        <v>400</v>
      </c>
      <c r="CI260" s="12">
        <v>400</v>
      </c>
      <c r="CJ260" s="12">
        <v>400</v>
      </c>
      <c r="CK260" s="31"/>
      <c r="CL260" s="31"/>
      <c r="CM260" s="31"/>
      <c r="CN260" s="31"/>
      <c r="CO260" s="12"/>
      <c r="CP260" s="12"/>
      <c r="CQ260" s="12"/>
      <c r="CR260" s="12"/>
      <c r="CS260" s="12"/>
      <c r="CT260" s="12"/>
      <c r="CU260" s="12"/>
      <c r="CV260" s="12"/>
      <c r="CW260" s="12"/>
      <c r="CX260" s="180"/>
      <c r="CY260" s="31"/>
      <c r="CZ260" s="31"/>
      <c r="DA260" s="31"/>
      <c r="DB260" s="31"/>
      <c r="DC260" s="31"/>
      <c r="DD260" s="31"/>
      <c r="DE260" s="31"/>
      <c r="DF260" s="31"/>
      <c r="DG260" s="31"/>
      <c r="DH260" s="31"/>
      <c r="DI260" s="31"/>
      <c r="DJ260" s="31"/>
      <c r="DK260" s="12"/>
      <c r="DL260" s="12">
        <v>200</v>
      </c>
      <c r="DM260" s="12">
        <v>200</v>
      </c>
      <c r="DN260" s="12">
        <v>200</v>
      </c>
      <c r="DO260" s="12">
        <v>200</v>
      </c>
      <c r="DP260" s="12">
        <v>200</v>
      </c>
      <c r="DQ260" s="12">
        <f>200-200</f>
        <v>0</v>
      </c>
      <c r="DR260" s="12">
        <v>400</v>
      </c>
      <c r="DS260" s="12">
        <v>400</v>
      </c>
      <c r="DT260" s="12">
        <v>400</v>
      </c>
      <c r="DU260" s="12">
        <v>400</v>
      </c>
      <c r="DV260" s="12">
        <v>400</v>
      </c>
      <c r="DW260" s="12">
        <f>400-400</f>
        <v>0</v>
      </c>
      <c r="DX260" s="12"/>
      <c r="DY260" s="12"/>
      <c r="DZ260" s="12"/>
      <c r="EA260" s="12"/>
      <c r="EB260" s="12"/>
      <c r="EC260" s="12"/>
      <c r="ED260" s="31"/>
      <c r="EE260" s="12"/>
      <c r="EF260" s="12"/>
      <c r="EG260" s="12"/>
      <c r="EH260" s="12"/>
      <c r="EI260" s="12"/>
      <c r="EJ260" s="28"/>
    </row>
    <row r="261" spans="1:140" ht="22.5" customHeight="1">
      <c r="A261" s="59">
        <v>61</v>
      </c>
      <c r="B261" s="52" t="s">
        <v>1533</v>
      </c>
      <c r="C261" s="51" t="s">
        <v>1623</v>
      </c>
      <c r="D261" s="50">
        <v>1000</v>
      </c>
      <c r="E261" s="79" t="s">
        <v>1624</v>
      </c>
      <c r="F261" s="54" t="s">
        <v>1603</v>
      </c>
      <c r="G261" s="142">
        <f>3500*6-1000-3500*5</f>
        <v>2500</v>
      </c>
      <c r="H261" s="52"/>
      <c r="I261" s="89"/>
      <c r="J261" s="52"/>
      <c r="K261" s="11"/>
      <c r="L261" s="8">
        <f t="shared" si="110"/>
        <v>3500</v>
      </c>
      <c r="M261" s="29">
        <f>SUM(O261:DX261)</f>
        <v>3500</v>
      </c>
      <c r="N261" s="29">
        <f t="shared" si="112"/>
        <v>0</v>
      </c>
      <c r="O261" s="8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31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>
        <v>3500</v>
      </c>
      <c r="AO261" s="12">
        <f>3500-3500</f>
        <v>0</v>
      </c>
      <c r="AP261" s="12">
        <f>3500-3500</f>
        <v>0</v>
      </c>
      <c r="AQ261" s="12">
        <f>3500-3500</f>
        <v>0</v>
      </c>
      <c r="AR261" s="12">
        <f>3500-3500</f>
        <v>0</v>
      </c>
      <c r="AS261" s="12">
        <f>3500-3500</f>
        <v>0</v>
      </c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39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31"/>
      <c r="CB261" s="31"/>
      <c r="CC261" s="31"/>
      <c r="CD261" s="12"/>
      <c r="CE261" s="12"/>
      <c r="CF261" s="12"/>
      <c r="CG261" s="12"/>
      <c r="CH261" s="12"/>
      <c r="CI261" s="12"/>
      <c r="CJ261" s="12"/>
      <c r="CK261" s="31"/>
      <c r="CL261" s="31"/>
      <c r="CM261" s="31"/>
      <c r="CN261" s="31"/>
      <c r="CO261" s="12"/>
      <c r="CP261" s="12"/>
      <c r="CQ261" s="12"/>
      <c r="CR261" s="12"/>
      <c r="CS261" s="12"/>
      <c r="CT261" s="12"/>
      <c r="CU261" s="12"/>
      <c r="CV261" s="12"/>
      <c r="CW261" s="12"/>
      <c r="CX261" s="180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81"/>
      <c r="DM261" s="181"/>
      <c r="DN261" s="181"/>
      <c r="DO261" s="181"/>
      <c r="DP261" s="181"/>
      <c r="DQ261" s="181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31"/>
      <c r="EE261" s="12"/>
      <c r="EF261" s="12"/>
      <c r="EG261" s="12"/>
      <c r="EH261" s="12"/>
      <c r="EI261" s="12"/>
      <c r="EJ261" s="23"/>
    </row>
    <row r="262" spans="1:140" s="32" customFormat="1" ht="22.5" customHeight="1">
      <c r="A262" s="59">
        <v>62</v>
      </c>
      <c r="B262" s="52" t="s">
        <v>1533</v>
      </c>
      <c r="C262" s="51" t="s">
        <v>1625</v>
      </c>
      <c r="D262" s="50">
        <f>1200+300</f>
        <v>1500</v>
      </c>
      <c r="E262" s="80" t="s">
        <v>1626</v>
      </c>
      <c r="F262" s="52" t="s">
        <v>1627</v>
      </c>
      <c r="G262" s="141">
        <f>3500*6-1750</f>
        <v>19250</v>
      </c>
      <c r="H262" s="52" t="s">
        <v>1627</v>
      </c>
      <c r="I262" s="89">
        <f>400+400+400+400+400*2-75-120-45</f>
        <v>2160</v>
      </c>
      <c r="J262" s="52"/>
      <c r="K262" s="30"/>
      <c r="L262" s="29">
        <f t="shared" si="110"/>
        <v>22910</v>
      </c>
      <c r="M262" s="29">
        <f>SUM(O262:DS262)</f>
        <v>21410</v>
      </c>
      <c r="N262" s="29">
        <f t="shared" si="112"/>
        <v>1500</v>
      </c>
      <c r="O262" s="29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>
        <v>3500</v>
      </c>
      <c r="AI262" s="31">
        <v>3500</v>
      </c>
      <c r="AJ262" s="31">
        <v>3500</v>
      </c>
      <c r="AK262" s="31">
        <f>3500/2</f>
        <v>1750</v>
      </c>
      <c r="AL262" s="31">
        <v>3500</v>
      </c>
      <c r="AM262" s="31">
        <v>3500</v>
      </c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9"/>
      <c r="BM262" s="31"/>
      <c r="BN262" s="31"/>
      <c r="BO262" s="31"/>
      <c r="BP262" s="31"/>
      <c r="BQ262" s="31"/>
      <c r="BR262" s="31"/>
      <c r="BS262" s="28"/>
      <c r="BT262" s="31"/>
      <c r="BU262" s="31"/>
      <c r="BV262" s="31"/>
      <c r="BW262" s="31"/>
      <c r="BX262" s="31"/>
      <c r="BY262" s="31"/>
      <c r="BZ262" s="31"/>
      <c r="CA262" s="31"/>
      <c r="CB262" s="31"/>
      <c r="CC262" s="31"/>
      <c r="CD262" s="31"/>
      <c r="CE262" s="31"/>
      <c r="CF262" s="31">
        <v>400</v>
      </c>
      <c r="CG262" s="31">
        <v>400</v>
      </c>
      <c r="CH262" s="31">
        <f>400-75</f>
        <v>325</v>
      </c>
      <c r="CI262" s="31">
        <f>400-120</f>
        <v>280</v>
      </c>
      <c r="CJ262" s="31">
        <f>400-45</f>
        <v>355</v>
      </c>
      <c r="CK262" s="31">
        <v>400</v>
      </c>
      <c r="CL262" s="31"/>
      <c r="CM262" s="31"/>
      <c r="CN262" s="31"/>
      <c r="CO262" s="31"/>
      <c r="CP262" s="31"/>
      <c r="CQ262" s="31"/>
      <c r="CR262" s="31"/>
      <c r="CS262" s="31"/>
      <c r="CT262" s="31"/>
      <c r="CU262" s="31"/>
      <c r="CV262" s="31"/>
      <c r="CW262" s="31"/>
      <c r="CX262" s="180"/>
      <c r="CY262" s="31"/>
      <c r="CZ262" s="31"/>
      <c r="DA262" s="31"/>
      <c r="DB262" s="31"/>
      <c r="DC262" s="31"/>
      <c r="DD262" s="31"/>
      <c r="DE262" s="31"/>
      <c r="DF262" s="31"/>
      <c r="DG262" s="31"/>
      <c r="DH262" s="31"/>
      <c r="DI262" s="31"/>
      <c r="DJ262" s="31"/>
      <c r="DK262" s="31"/>
      <c r="DL262" s="182"/>
      <c r="DM262" s="182"/>
      <c r="DN262" s="182"/>
      <c r="DO262" s="182"/>
      <c r="DP262" s="182"/>
      <c r="DQ262" s="182"/>
      <c r="DR262" s="31"/>
      <c r="DS262" s="31"/>
      <c r="DT262" s="31"/>
      <c r="DU262" s="31"/>
      <c r="DV262" s="31"/>
      <c r="DW262" s="31"/>
      <c r="DX262" s="31"/>
      <c r="DY262" s="31"/>
      <c r="DZ262" s="31"/>
      <c r="EA262" s="31"/>
      <c r="EB262" s="31"/>
      <c r="EC262" s="31"/>
      <c r="ED262" s="31"/>
      <c r="EE262" s="31"/>
      <c r="EF262" s="31"/>
      <c r="EG262" s="31"/>
      <c r="EH262" s="31"/>
      <c r="EI262" s="31"/>
      <c r="EJ262" s="28"/>
    </row>
    <row r="263" spans="1:140" ht="22.5" customHeight="1">
      <c r="A263" s="59">
        <v>63</v>
      </c>
      <c r="B263" s="52" t="s">
        <v>1533</v>
      </c>
      <c r="C263" s="54" t="s">
        <v>1628</v>
      </c>
      <c r="D263" s="50">
        <f>1200+300+300</f>
        <v>1800</v>
      </c>
      <c r="E263" s="79" t="s">
        <v>1629</v>
      </c>
      <c r="F263" s="59" t="s">
        <v>1613</v>
      </c>
      <c r="G263" s="142">
        <f>2500*11-2000</f>
        <v>25500</v>
      </c>
      <c r="H263" s="52" t="s">
        <v>1613</v>
      </c>
      <c r="I263" s="89">
        <f>400+400+400+400+400*4-135+400*2-60-105-120</f>
        <v>3580</v>
      </c>
      <c r="J263" s="52"/>
      <c r="K263" s="11"/>
      <c r="L263" s="8">
        <f t="shared" si="110"/>
        <v>30880</v>
      </c>
      <c r="M263" s="29">
        <f>SUM(O263:DX263)</f>
        <v>29080</v>
      </c>
      <c r="N263" s="29">
        <f t="shared" si="112"/>
        <v>1800</v>
      </c>
      <c r="O263" s="8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31"/>
      <c r="AB263" s="31"/>
      <c r="AC263" s="31">
        <v>2500</v>
      </c>
      <c r="AD263" s="31">
        <v>2500</v>
      </c>
      <c r="AE263" s="31">
        <v>2500</v>
      </c>
      <c r="AF263" s="31">
        <v>2500</v>
      </c>
      <c r="AG263" s="31">
        <f>2500-2000</f>
        <v>500</v>
      </c>
      <c r="AH263" s="31">
        <v>2500</v>
      </c>
      <c r="AI263" s="31">
        <v>2500</v>
      </c>
      <c r="AJ263" s="31">
        <v>2500</v>
      </c>
      <c r="AK263" s="31">
        <v>2500</v>
      </c>
      <c r="AL263" s="31">
        <v>2500</v>
      </c>
      <c r="AM263" s="31">
        <v>2500</v>
      </c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9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>
        <v>400</v>
      </c>
      <c r="CB263" s="12">
        <v>400</v>
      </c>
      <c r="CC263" s="12">
        <v>400</v>
      </c>
      <c r="CD263" s="12">
        <f>400-135</f>
        <v>265</v>
      </c>
      <c r="CE263" s="12"/>
      <c r="CF263" s="12">
        <v>400</v>
      </c>
      <c r="CG263" s="12">
        <f>400-60</f>
        <v>340</v>
      </c>
      <c r="CH263" s="12">
        <v>400</v>
      </c>
      <c r="CI263" s="12">
        <f>400-105</f>
        <v>295</v>
      </c>
      <c r="CJ263" s="12">
        <v>400</v>
      </c>
      <c r="CK263" s="31">
        <f>400-120</f>
        <v>280</v>
      </c>
      <c r="CL263" s="31"/>
      <c r="CM263" s="31"/>
      <c r="CN263" s="31"/>
      <c r="CO263" s="12"/>
      <c r="CP263" s="12"/>
      <c r="CQ263" s="12"/>
      <c r="CR263" s="12"/>
      <c r="CS263" s="12"/>
      <c r="CT263" s="12"/>
      <c r="CU263" s="12"/>
      <c r="CV263" s="12"/>
      <c r="CW263" s="12"/>
      <c r="CX263" s="180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31"/>
      <c r="EE263" s="12"/>
      <c r="EF263" s="12"/>
      <c r="EG263" s="12"/>
      <c r="EH263" s="12"/>
      <c r="EI263" s="12"/>
      <c r="EJ263" s="23"/>
    </row>
    <row r="264" spans="1:140" s="32" customFormat="1" ht="21.75" customHeight="1">
      <c r="A264" s="59">
        <v>64</v>
      </c>
      <c r="B264" s="52" t="s">
        <v>1533</v>
      </c>
      <c r="C264" s="51" t="s">
        <v>1630</v>
      </c>
      <c r="D264" s="50">
        <f>1200+600*0.8</f>
        <v>1680</v>
      </c>
      <c r="E264" s="80" t="s">
        <v>1631</v>
      </c>
      <c r="F264" s="52" t="s">
        <v>1632</v>
      </c>
      <c r="G264" s="141">
        <f>2500+5000*8-1800-4775*5</f>
        <v>16825</v>
      </c>
      <c r="H264" s="52" t="s">
        <v>1632</v>
      </c>
      <c r="I264" s="89">
        <f>20*9+400+400-240</f>
        <v>740</v>
      </c>
      <c r="J264" s="52"/>
      <c r="K264" s="30"/>
      <c r="L264" s="29">
        <f t="shared" si="110"/>
        <v>19245</v>
      </c>
      <c r="M264" s="29">
        <f>SUM(O264:DS264)</f>
        <v>17565</v>
      </c>
      <c r="N264" s="29">
        <f t="shared" si="112"/>
        <v>1680</v>
      </c>
      <c r="O264" s="29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>
        <f>5000/2</f>
        <v>2500</v>
      </c>
      <c r="AL264" s="31">
        <f>5000-225</f>
        <v>4775</v>
      </c>
      <c r="AM264" s="31">
        <f>5000-225</f>
        <v>4775</v>
      </c>
      <c r="AN264" s="31">
        <f>5000-225</f>
        <v>4775</v>
      </c>
      <c r="AO264" s="31">
        <f>5000-225-4775</f>
        <v>0</v>
      </c>
      <c r="AP264" s="31">
        <f>5000-225-4775</f>
        <v>0</v>
      </c>
      <c r="AQ264" s="31">
        <f>5000-225-4775</f>
        <v>0</v>
      </c>
      <c r="AR264" s="31">
        <f>5000-225-4775</f>
        <v>0</v>
      </c>
      <c r="AS264" s="31">
        <f>5000-225-4775</f>
        <v>0</v>
      </c>
      <c r="AT264" s="31"/>
      <c r="AU264" s="31"/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9"/>
      <c r="BM264" s="31"/>
      <c r="BN264" s="31"/>
      <c r="BO264" s="31"/>
      <c r="BP264" s="31"/>
      <c r="BQ264" s="31"/>
      <c r="BR264" s="31"/>
      <c r="BS264" s="31"/>
      <c r="BT264" s="31"/>
      <c r="BU264" s="31"/>
      <c r="BV264" s="31"/>
      <c r="BW264" s="31"/>
      <c r="BX264" s="31"/>
      <c r="BY264" s="31"/>
      <c r="BZ264" s="31"/>
      <c r="CA264" s="31"/>
      <c r="CB264" s="31"/>
      <c r="CC264" s="31"/>
      <c r="CD264" s="31"/>
      <c r="CE264" s="31"/>
      <c r="CF264" s="31"/>
      <c r="CG264" s="31"/>
      <c r="CH264" s="31"/>
      <c r="CI264" s="31">
        <f>20*9</f>
        <v>180</v>
      </c>
      <c r="CJ264" s="31">
        <v>400</v>
      </c>
      <c r="CK264" s="31">
        <f>400-240</f>
        <v>160</v>
      </c>
      <c r="CL264" s="31"/>
      <c r="CM264" s="31"/>
      <c r="CN264" s="31"/>
      <c r="CO264" s="31"/>
      <c r="CP264" s="31"/>
      <c r="CQ264" s="31"/>
      <c r="CR264" s="31"/>
      <c r="CS264" s="31"/>
      <c r="CT264" s="31"/>
      <c r="CU264" s="31"/>
      <c r="CV264" s="31"/>
      <c r="CW264" s="31"/>
      <c r="CX264" s="180"/>
      <c r="CY264" s="31"/>
      <c r="CZ264" s="31"/>
      <c r="DA264" s="31"/>
      <c r="DB264" s="31"/>
      <c r="DC264" s="31"/>
      <c r="DD264" s="31"/>
      <c r="DE264" s="31"/>
      <c r="DF264" s="31"/>
      <c r="DG264" s="31"/>
      <c r="DH264" s="31"/>
      <c r="DI264" s="31"/>
      <c r="DJ264" s="31"/>
      <c r="DK264" s="31"/>
      <c r="DL264" s="182"/>
      <c r="DM264" s="182"/>
      <c r="DN264" s="182"/>
      <c r="DO264" s="182"/>
      <c r="DP264" s="182"/>
      <c r="DQ264" s="182"/>
      <c r="DR264" s="31"/>
      <c r="DS264" s="31"/>
      <c r="DT264" s="31"/>
      <c r="DU264" s="31"/>
      <c r="DV264" s="31"/>
      <c r="DW264" s="31"/>
      <c r="DX264" s="31"/>
      <c r="DY264" s="31"/>
      <c r="DZ264" s="31"/>
      <c r="EA264" s="31"/>
      <c r="EB264" s="31"/>
      <c r="EC264" s="31"/>
      <c r="ED264" s="31"/>
      <c r="EE264" s="31"/>
      <c r="EF264" s="31"/>
      <c r="EG264" s="31"/>
      <c r="EH264" s="31"/>
      <c r="EI264" s="31"/>
      <c r="EJ264" s="28"/>
    </row>
    <row r="265" spans="1:140" s="28" customFormat="1" ht="18" customHeight="1">
      <c r="A265" s="59">
        <v>65</v>
      </c>
      <c r="B265" s="52" t="s">
        <v>1533</v>
      </c>
      <c r="C265" s="52" t="s">
        <v>1633</v>
      </c>
      <c r="D265" s="50">
        <f>1200+300+300</f>
        <v>1800</v>
      </c>
      <c r="E265" s="52" t="s">
        <v>1634</v>
      </c>
      <c r="F265" s="52" t="s">
        <v>1635</v>
      </c>
      <c r="G265" s="141">
        <f>2250*25-205-920-1750-1750-2250*11</f>
        <v>26875</v>
      </c>
      <c r="H265" s="52" t="s">
        <v>1635</v>
      </c>
      <c r="I265" s="89">
        <f>400+400+400+400+400+400+400-195+400*6-400-400-60-90-60</f>
        <v>3995</v>
      </c>
      <c r="J265" s="52" t="s">
        <v>1635</v>
      </c>
      <c r="K265" s="30">
        <f>200*7+400*6-200-200</f>
        <v>3400</v>
      </c>
      <c r="L265" s="30">
        <f t="shared" ref="L265:L304" si="117">D265+G265+I265+K265</f>
        <v>36070</v>
      </c>
      <c r="M265" s="29">
        <f>SUM(O265:DW265)</f>
        <v>34270</v>
      </c>
      <c r="N265" s="29">
        <f t="shared" ref="N265:N304" si="118">L265-M265</f>
        <v>1800</v>
      </c>
      <c r="AA265" s="31">
        <v>2250</v>
      </c>
      <c r="AB265" s="31">
        <v>2250</v>
      </c>
      <c r="AC265" s="31">
        <v>2250</v>
      </c>
      <c r="AD265" s="31">
        <v>2250</v>
      </c>
      <c r="AE265" s="31">
        <f>2250/2</f>
        <v>1125</v>
      </c>
      <c r="AF265" s="31">
        <f>2250-1750</f>
        <v>500</v>
      </c>
      <c r="AG265" s="31">
        <f>2250-1750</f>
        <v>500</v>
      </c>
      <c r="AH265" s="31">
        <v>2250</v>
      </c>
      <c r="AI265" s="31">
        <v>2250</v>
      </c>
      <c r="AJ265" s="31">
        <v>2250</v>
      </c>
      <c r="AK265" s="31">
        <v>2250</v>
      </c>
      <c r="AL265" s="31">
        <v>2250</v>
      </c>
      <c r="AM265" s="31">
        <v>2250</v>
      </c>
      <c r="AN265" s="31">
        <v>2250</v>
      </c>
      <c r="AO265" s="31">
        <f t="shared" ref="AO265:AY265" si="119">2250-2250</f>
        <v>0</v>
      </c>
      <c r="AP265" s="31">
        <f t="shared" si="119"/>
        <v>0</v>
      </c>
      <c r="AQ265" s="31">
        <f t="shared" si="119"/>
        <v>0</v>
      </c>
      <c r="AR265" s="31">
        <f t="shared" si="119"/>
        <v>0</v>
      </c>
      <c r="AS265" s="31">
        <f t="shared" si="119"/>
        <v>0</v>
      </c>
      <c r="AT265" s="31">
        <f t="shared" si="119"/>
        <v>0</v>
      </c>
      <c r="AU265" s="31">
        <f t="shared" si="119"/>
        <v>0</v>
      </c>
      <c r="AV265" s="31">
        <f t="shared" si="119"/>
        <v>0</v>
      </c>
      <c r="AW265" s="31">
        <f t="shared" si="119"/>
        <v>0</v>
      </c>
      <c r="AX265" s="31">
        <f t="shared" si="119"/>
        <v>0</v>
      </c>
      <c r="AY265" s="31">
        <f t="shared" si="119"/>
        <v>0</v>
      </c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40"/>
      <c r="BY265" s="12">
        <v>400</v>
      </c>
      <c r="BZ265" s="12">
        <v>400</v>
      </c>
      <c r="CA265" s="12">
        <f>400-60</f>
        <v>340</v>
      </c>
      <c r="CB265" s="12">
        <v>400</v>
      </c>
      <c r="CC265" s="12">
        <f>400-195</f>
        <v>205</v>
      </c>
      <c r="CD265" s="12">
        <f>400-400</f>
        <v>0</v>
      </c>
      <c r="CE265" s="12">
        <f>400-400</f>
        <v>0</v>
      </c>
      <c r="CF265" s="12">
        <f>400-90</f>
        <v>310</v>
      </c>
      <c r="CG265" s="12">
        <v>400</v>
      </c>
      <c r="CH265" s="12">
        <v>400</v>
      </c>
      <c r="CI265" s="12">
        <f>400-60</f>
        <v>340</v>
      </c>
      <c r="CJ265" s="12">
        <v>400</v>
      </c>
      <c r="CK265" s="31">
        <v>400</v>
      </c>
      <c r="CL265" s="31"/>
      <c r="CM265" s="31"/>
      <c r="CN265" s="31"/>
      <c r="CO265" s="12"/>
      <c r="CP265" s="12"/>
      <c r="CQ265" s="12"/>
      <c r="CR265" s="12"/>
      <c r="CS265" s="12"/>
      <c r="CT265" s="12"/>
      <c r="CU265" s="12"/>
      <c r="CV265" s="12"/>
      <c r="CW265" s="12"/>
      <c r="CX265" s="40"/>
      <c r="DK265" s="12">
        <v>200</v>
      </c>
      <c r="DL265" s="12">
        <v>200</v>
      </c>
      <c r="DM265" s="12">
        <v>200</v>
      </c>
      <c r="DN265" s="12">
        <v>200</v>
      </c>
      <c r="DO265" s="12">
        <v>200</v>
      </c>
      <c r="DP265" s="12">
        <f>200-200</f>
        <v>0</v>
      </c>
      <c r="DQ265" s="12">
        <f>200-200</f>
        <v>0</v>
      </c>
      <c r="DR265" s="12">
        <v>400</v>
      </c>
      <c r="DS265" s="12">
        <v>400</v>
      </c>
      <c r="DT265" s="12">
        <v>400</v>
      </c>
      <c r="DU265" s="12">
        <v>400</v>
      </c>
      <c r="DV265" s="12">
        <v>400</v>
      </c>
      <c r="DW265" s="12">
        <v>400</v>
      </c>
      <c r="DX265" s="12"/>
      <c r="DY265" s="12"/>
      <c r="DZ265" s="12"/>
      <c r="EA265" s="12"/>
      <c r="EB265" s="12"/>
      <c r="EC265" s="12"/>
      <c r="ED265" s="31"/>
      <c r="EE265" s="12"/>
      <c r="EF265" s="12"/>
      <c r="EG265" s="12"/>
      <c r="EH265" s="12"/>
      <c r="EI265" s="12"/>
    </row>
    <row r="266" spans="1:140" s="32" customFormat="1" ht="22.5" customHeight="1">
      <c r="A266" s="59">
        <v>66</v>
      </c>
      <c r="B266" s="52" t="s">
        <v>1533</v>
      </c>
      <c r="C266" s="51" t="s">
        <v>1636</v>
      </c>
      <c r="D266" s="50">
        <f>300*2+1200</f>
        <v>1800</v>
      </c>
      <c r="E266" s="80" t="s">
        <v>1637</v>
      </c>
      <c r="F266" s="52" t="s">
        <v>1572</v>
      </c>
      <c r="G266" s="141">
        <f>2375*12-1187.5</f>
        <v>27312.5</v>
      </c>
      <c r="H266" s="52" t="s">
        <v>1572</v>
      </c>
      <c r="I266" s="89">
        <f>400*12-60-45-165-120-90-120-45-60</f>
        <v>4095</v>
      </c>
      <c r="J266" s="52" t="s">
        <v>1572</v>
      </c>
      <c r="K266" s="30">
        <f>200*12</f>
        <v>2400</v>
      </c>
      <c r="L266" s="29">
        <f t="shared" si="117"/>
        <v>35607.5</v>
      </c>
      <c r="M266" s="29">
        <f>SUM(O266:DW266)</f>
        <v>33807.5</v>
      </c>
      <c r="N266" s="29">
        <f t="shared" si="118"/>
        <v>1800</v>
      </c>
      <c r="O266" s="29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>
        <v>2375</v>
      </c>
      <c r="AC266" s="31">
        <v>2375</v>
      </c>
      <c r="AD266" s="31">
        <v>2375</v>
      </c>
      <c r="AE266" s="31">
        <f>2375/2</f>
        <v>1187.5</v>
      </c>
      <c r="AF266" s="31">
        <v>2375</v>
      </c>
      <c r="AG266" s="31">
        <v>2375</v>
      </c>
      <c r="AH266" s="31">
        <v>2375</v>
      </c>
      <c r="AI266" s="31">
        <v>2375</v>
      </c>
      <c r="AJ266" s="31">
        <v>2375</v>
      </c>
      <c r="AK266" s="31">
        <v>2375</v>
      </c>
      <c r="AL266" s="31">
        <v>2375</v>
      </c>
      <c r="AM266" s="31">
        <v>2375</v>
      </c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9"/>
      <c r="BM266" s="31"/>
      <c r="BN266" s="31"/>
      <c r="BO266" s="31"/>
      <c r="BP266" s="31"/>
      <c r="BQ266" s="31"/>
      <c r="BR266" s="31"/>
      <c r="BS266" s="31"/>
      <c r="BT266" s="31"/>
      <c r="BU266" s="31"/>
      <c r="BV266" s="31"/>
      <c r="BW266" s="31"/>
      <c r="BX266" s="31"/>
      <c r="BY266" s="12"/>
      <c r="BZ266" s="12">
        <v>400</v>
      </c>
      <c r="CA266" s="12">
        <f>400-60</f>
        <v>340</v>
      </c>
      <c r="CB266" s="12">
        <f>400-45</f>
        <v>355</v>
      </c>
      <c r="CC266" s="12">
        <f>400-165</f>
        <v>235</v>
      </c>
      <c r="CD266" s="12">
        <f>400-120</f>
        <v>280</v>
      </c>
      <c r="CE266" s="12">
        <f>400-90</f>
        <v>310</v>
      </c>
      <c r="CF266" s="12">
        <v>400</v>
      </c>
      <c r="CG266" s="12">
        <f>400-120</f>
        <v>280</v>
      </c>
      <c r="CH266" s="12">
        <f>400-45</f>
        <v>355</v>
      </c>
      <c r="CI266" s="12">
        <f>400-60</f>
        <v>340</v>
      </c>
      <c r="CJ266" s="12">
        <v>400</v>
      </c>
      <c r="CK266" s="31">
        <v>400</v>
      </c>
      <c r="CL266" s="31"/>
      <c r="CM266" s="31"/>
      <c r="CN266" s="31"/>
      <c r="CO266" s="12"/>
      <c r="CP266" s="12"/>
      <c r="CQ266" s="12"/>
      <c r="CR266" s="12"/>
      <c r="CS266" s="12"/>
      <c r="CT266" s="12"/>
      <c r="CU266" s="12"/>
      <c r="CV266" s="12"/>
      <c r="CW266" s="12"/>
      <c r="CX266" s="180"/>
      <c r="CY266" s="31"/>
      <c r="CZ266" s="31"/>
      <c r="DA266" s="31"/>
      <c r="DB266" s="31"/>
      <c r="DC266" s="31"/>
      <c r="DD266" s="31"/>
      <c r="DE266" s="31"/>
      <c r="DF266" s="31"/>
      <c r="DG266" s="31"/>
      <c r="DH266" s="31"/>
      <c r="DI266" s="31"/>
      <c r="DJ266" s="31"/>
      <c r="DK266" s="12"/>
      <c r="DL266" s="12">
        <v>200</v>
      </c>
      <c r="DM266" s="12">
        <v>200</v>
      </c>
      <c r="DN266" s="12">
        <v>200</v>
      </c>
      <c r="DO266" s="12">
        <v>200</v>
      </c>
      <c r="DP266" s="12">
        <v>200</v>
      </c>
      <c r="DQ266" s="12">
        <v>200</v>
      </c>
      <c r="DR266" s="12">
        <v>200</v>
      </c>
      <c r="DS266" s="12">
        <v>200</v>
      </c>
      <c r="DT266" s="12">
        <v>200</v>
      </c>
      <c r="DU266" s="12">
        <v>200</v>
      </c>
      <c r="DV266" s="12">
        <v>200</v>
      </c>
      <c r="DW266" s="12">
        <v>200</v>
      </c>
      <c r="DX266" s="12"/>
      <c r="DY266" s="12"/>
      <c r="DZ266" s="12"/>
      <c r="EA266" s="12"/>
      <c r="EB266" s="12"/>
      <c r="EC266" s="12"/>
      <c r="ED266" s="31"/>
      <c r="EE266" s="12"/>
      <c r="EF266" s="12"/>
      <c r="EG266" s="12"/>
      <c r="EH266" s="12"/>
      <c r="EI266" s="12"/>
      <c r="EJ266" s="28"/>
    </row>
    <row r="267" spans="1:140" s="32" customFormat="1" ht="22.5" customHeight="1">
      <c r="A267" s="59">
        <v>67</v>
      </c>
      <c r="B267" s="52" t="s">
        <v>1533</v>
      </c>
      <c r="C267" s="51" t="s">
        <v>1638</v>
      </c>
      <c r="D267" s="50">
        <f>1000+800-90-115</f>
        <v>1595</v>
      </c>
      <c r="E267" s="80" t="s">
        <v>1639</v>
      </c>
      <c r="F267" s="52" t="s">
        <v>1640</v>
      </c>
      <c r="G267" s="141">
        <f>5000*11*0.85-4250*5</f>
        <v>25500</v>
      </c>
      <c r="H267" s="52" t="s">
        <v>1640</v>
      </c>
      <c r="I267" s="89">
        <f>400+400*3-45-45+400</f>
        <v>1910</v>
      </c>
      <c r="J267" s="52"/>
      <c r="K267" s="30"/>
      <c r="L267" s="29">
        <f t="shared" si="117"/>
        <v>29005</v>
      </c>
      <c r="M267" s="29">
        <f>SUM(O267:DS267)</f>
        <v>27410</v>
      </c>
      <c r="N267" s="29">
        <f t="shared" si="118"/>
        <v>1595</v>
      </c>
      <c r="O267" s="29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>
        <f t="shared" ref="AI267:AN267" si="120">5000*0.85</f>
        <v>4250</v>
      </c>
      <c r="AJ267" s="31">
        <f t="shared" si="120"/>
        <v>4250</v>
      </c>
      <c r="AK267" s="31">
        <f t="shared" si="120"/>
        <v>4250</v>
      </c>
      <c r="AL267" s="31">
        <f t="shared" si="120"/>
        <v>4250</v>
      </c>
      <c r="AM267" s="31">
        <f t="shared" si="120"/>
        <v>4250</v>
      </c>
      <c r="AN267" s="31">
        <f t="shared" si="120"/>
        <v>4250</v>
      </c>
      <c r="AO267" s="31">
        <f>5000*0.85-4250</f>
        <v>0</v>
      </c>
      <c r="AP267" s="31">
        <f>5000*0.85-4250</f>
        <v>0</v>
      </c>
      <c r="AQ267" s="31">
        <f>5000*0.85-4250</f>
        <v>0</v>
      </c>
      <c r="AR267" s="31">
        <f>5000*0.85-4250</f>
        <v>0</v>
      </c>
      <c r="AS267" s="31">
        <f>5000*0.85-4250</f>
        <v>0</v>
      </c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9"/>
      <c r="BM267" s="31"/>
      <c r="BN267" s="31"/>
      <c r="BO267" s="31"/>
      <c r="BP267" s="31"/>
      <c r="BQ267" s="31"/>
      <c r="BR267" s="31"/>
      <c r="BS267" s="31"/>
      <c r="BT267" s="31"/>
      <c r="BU267" s="31"/>
      <c r="BV267" s="31"/>
      <c r="BW267" s="31"/>
      <c r="BX267" s="31"/>
      <c r="BY267" s="31"/>
      <c r="BZ267" s="31"/>
      <c r="CA267" s="31"/>
      <c r="CB267" s="31"/>
      <c r="CC267" s="31"/>
      <c r="CD267" s="31"/>
      <c r="CE267" s="31"/>
      <c r="CF267" s="31"/>
      <c r="CG267" s="31">
        <v>400</v>
      </c>
      <c r="CH267" s="31">
        <v>400</v>
      </c>
      <c r="CI267" s="31">
        <f>400-45</f>
        <v>355</v>
      </c>
      <c r="CJ267" s="31">
        <f>400-45</f>
        <v>355</v>
      </c>
      <c r="CK267" s="31">
        <v>400</v>
      </c>
      <c r="CL267" s="31"/>
      <c r="CM267" s="31"/>
      <c r="CN267" s="31"/>
      <c r="CO267" s="31"/>
      <c r="CP267" s="31"/>
      <c r="CQ267" s="31"/>
      <c r="CR267" s="31"/>
      <c r="CS267" s="31"/>
      <c r="CT267" s="31"/>
      <c r="CU267" s="31"/>
      <c r="CV267" s="31"/>
      <c r="CW267" s="31"/>
      <c r="CX267" s="180"/>
      <c r="CY267" s="31"/>
      <c r="CZ267" s="31"/>
      <c r="DA267" s="31"/>
      <c r="DB267" s="31"/>
      <c r="DC267" s="31"/>
      <c r="DD267" s="31"/>
      <c r="DE267" s="31"/>
      <c r="DF267" s="31"/>
      <c r="DG267" s="31"/>
      <c r="DH267" s="31"/>
      <c r="DI267" s="31"/>
      <c r="DJ267" s="31"/>
      <c r="DK267" s="31"/>
      <c r="DL267" s="182"/>
      <c r="DM267" s="182"/>
      <c r="DN267" s="182"/>
      <c r="DO267" s="182"/>
      <c r="DP267" s="182"/>
      <c r="DQ267" s="182"/>
      <c r="DR267" s="31"/>
      <c r="DS267" s="31"/>
      <c r="DT267" s="31"/>
      <c r="DU267" s="31"/>
      <c r="DV267" s="31"/>
      <c r="DW267" s="31"/>
      <c r="DX267" s="31"/>
      <c r="DY267" s="31"/>
      <c r="DZ267" s="31"/>
      <c r="EA267" s="31"/>
      <c r="EB267" s="31"/>
      <c r="EC267" s="31"/>
      <c r="ED267" s="31"/>
      <c r="EE267" s="31"/>
      <c r="EF267" s="31"/>
      <c r="EG267" s="31"/>
      <c r="EH267" s="31"/>
      <c r="EI267" s="31"/>
      <c r="EJ267" s="28"/>
    </row>
    <row r="268" spans="1:140" s="34" customFormat="1" ht="22.5" customHeight="1">
      <c r="A268" s="59">
        <v>68</v>
      </c>
      <c r="B268" s="52" t="s">
        <v>1533</v>
      </c>
      <c r="C268" s="51" t="s">
        <v>1641</v>
      </c>
      <c r="D268" s="50">
        <f>1200+300+300</f>
        <v>1800</v>
      </c>
      <c r="E268" s="52" t="s">
        <v>1642</v>
      </c>
      <c r="F268" s="52" t="s">
        <v>1643</v>
      </c>
      <c r="G268" s="141">
        <f>1250+2500*6+2500*6-2000</f>
        <v>29250</v>
      </c>
      <c r="H268" s="80" t="s">
        <v>1635</v>
      </c>
      <c r="I268" s="89">
        <f>400*3+400+400+400-195-120+400+400*3+400*2-150-75-45</f>
        <v>4215</v>
      </c>
      <c r="J268" s="52" t="s">
        <v>1644</v>
      </c>
      <c r="K268" s="30">
        <f>200*6+400*2-200</f>
        <v>1800</v>
      </c>
      <c r="L268" s="30">
        <f t="shared" si="117"/>
        <v>37065</v>
      </c>
      <c r="M268" s="29">
        <f>SUM(O268:DX268)</f>
        <v>35265</v>
      </c>
      <c r="N268" s="29">
        <f t="shared" si="118"/>
        <v>1800</v>
      </c>
      <c r="AA268" s="31">
        <v>1250</v>
      </c>
      <c r="AB268" s="31">
        <v>2500</v>
      </c>
      <c r="AC268" s="31">
        <v>2500</v>
      </c>
      <c r="AD268" s="31">
        <v>2500</v>
      </c>
      <c r="AE268" s="31">
        <v>2500</v>
      </c>
      <c r="AF268" s="31">
        <v>2500</v>
      </c>
      <c r="AG268" s="31">
        <f>2500-2000</f>
        <v>500</v>
      </c>
      <c r="AH268" s="31">
        <v>2500</v>
      </c>
      <c r="AI268" s="31">
        <v>2500</v>
      </c>
      <c r="AJ268" s="31">
        <v>2500</v>
      </c>
      <c r="AK268" s="31">
        <v>2500</v>
      </c>
      <c r="AL268" s="31">
        <v>2500</v>
      </c>
      <c r="AM268" s="31">
        <v>2500</v>
      </c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6"/>
      <c r="BY268" s="12">
        <f>400-195</f>
        <v>205</v>
      </c>
      <c r="BZ268" s="12">
        <v>400</v>
      </c>
      <c r="CA268" s="12">
        <v>400</v>
      </c>
      <c r="CB268" s="12">
        <f>400-120</f>
        <v>280</v>
      </c>
      <c r="CC268" s="12">
        <v>400</v>
      </c>
      <c r="CD268" s="12">
        <v>400</v>
      </c>
      <c r="CE268" s="12"/>
      <c r="CF268" s="12">
        <v>400</v>
      </c>
      <c r="CG268" s="12">
        <f>400-150</f>
        <v>250</v>
      </c>
      <c r="CH268" s="12">
        <v>400</v>
      </c>
      <c r="CI268" s="12">
        <v>400</v>
      </c>
      <c r="CJ268" s="12">
        <f>400-75</f>
        <v>325</v>
      </c>
      <c r="CK268" s="31">
        <f>400-45</f>
        <v>355</v>
      </c>
      <c r="CL268" s="31"/>
      <c r="CM268" s="31"/>
      <c r="CN268" s="31"/>
      <c r="CO268" s="12"/>
      <c r="CP268" s="12"/>
      <c r="CQ268" s="12"/>
      <c r="CR268" s="12"/>
      <c r="CS268" s="12"/>
      <c r="CT268" s="12"/>
      <c r="CU268" s="12"/>
      <c r="CV268" s="12"/>
      <c r="CW268" s="12"/>
      <c r="CX268" s="36"/>
      <c r="DK268" s="12"/>
      <c r="DL268" s="12">
        <v>200</v>
      </c>
      <c r="DM268" s="12">
        <v>200</v>
      </c>
      <c r="DN268" s="12">
        <v>200</v>
      </c>
      <c r="DO268" s="12">
        <v>200</v>
      </c>
      <c r="DP268" s="12">
        <v>200</v>
      </c>
      <c r="DQ268" s="12">
        <f>200-200</f>
        <v>0</v>
      </c>
      <c r="DR268" s="12">
        <v>400</v>
      </c>
      <c r="DS268" s="12">
        <v>400</v>
      </c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31"/>
      <c r="EE268" s="12"/>
      <c r="EF268" s="12"/>
      <c r="EG268" s="12"/>
      <c r="EH268" s="12"/>
      <c r="EI268" s="12"/>
    </row>
    <row r="269" spans="1:140" s="32" customFormat="1" ht="18" customHeight="1">
      <c r="A269" s="59">
        <v>69</v>
      </c>
      <c r="B269" s="52" t="s">
        <v>1533</v>
      </c>
      <c r="C269" s="51" t="s">
        <v>1645</v>
      </c>
      <c r="D269" s="50">
        <f>1200+300*2</f>
        <v>1800</v>
      </c>
      <c r="E269" s="80" t="s">
        <v>1646</v>
      </c>
      <c r="F269" s="52" t="s">
        <v>1572</v>
      </c>
      <c r="G269" s="141">
        <f>3500*12</f>
        <v>42000</v>
      </c>
      <c r="H269" s="52" t="s">
        <v>1572</v>
      </c>
      <c r="I269" s="89">
        <f>400*1+400+400+400-75+400+400-75+400*2-60+400+400+400+400-75-45</f>
        <v>4470</v>
      </c>
      <c r="J269" s="52"/>
      <c r="K269" s="30"/>
      <c r="L269" s="30">
        <f t="shared" si="117"/>
        <v>48270</v>
      </c>
      <c r="M269" s="29">
        <f>SUM(O269:DS269)</f>
        <v>46470</v>
      </c>
      <c r="N269" s="29">
        <f t="shared" si="118"/>
        <v>1800</v>
      </c>
      <c r="O269" s="29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>
        <v>3500</v>
      </c>
      <c r="AC269" s="31">
        <v>3500</v>
      </c>
      <c r="AD269" s="31">
        <v>3500</v>
      </c>
      <c r="AE269" s="31">
        <v>3500</v>
      </c>
      <c r="AF269" s="31">
        <v>3500</v>
      </c>
      <c r="AG269" s="31">
        <v>3500</v>
      </c>
      <c r="AH269" s="31">
        <v>3500</v>
      </c>
      <c r="AI269" s="31">
        <v>3500</v>
      </c>
      <c r="AJ269" s="31">
        <v>3500</v>
      </c>
      <c r="AK269" s="31">
        <v>3500</v>
      </c>
      <c r="AL269" s="31">
        <v>3500</v>
      </c>
      <c r="AM269" s="31">
        <v>3500</v>
      </c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9"/>
      <c r="BM269" s="31"/>
      <c r="BN269" s="31"/>
      <c r="BO269" s="31"/>
      <c r="BP269" s="31"/>
      <c r="BQ269" s="31"/>
      <c r="BR269" s="31"/>
      <c r="BS269" s="31"/>
      <c r="BT269" s="31"/>
      <c r="BU269" s="31"/>
      <c r="BV269" s="31"/>
      <c r="BW269" s="31"/>
      <c r="BX269" s="31"/>
      <c r="BY269" s="12"/>
      <c r="BZ269" s="12">
        <v>400</v>
      </c>
      <c r="CA269" s="12">
        <f>400-75</f>
        <v>325</v>
      </c>
      <c r="CB269" s="12">
        <v>400</v>
      </c>
      <c r="CC269" s="12">
        <f>400-75</f>
        <v>325</v>
      </c>
      <c r="CD269" s="12">
        <v>400</v>
      </c>
      <c r="CE269" s="12">
        <f>400-60</f>
        <v>340</v>
      </c>
      <c r="CF269" s="12">
        <v>400</v>
      </c>
      <c r="CG269" s="12">
        <v>400</v>
      </c>
      <c r="CH269" s="12">
        <v>400</v>
      </c>
      <c r="CI269" s="12">
        <v>400</v>
      </c>
      <c r="CJ269" s="12">
        <f>400-75</f>
        <v>325</v>
      </c>
      <c r="CK269" s="31">
        <f>400-45</f>
        <v>355</v>
      </c>
      <c r="CL269" s="31"/>
      <c r="CM269" s="31"/>
      <c r="CN269" s="31"/>
      <c r="CO269" s="12"/>
      <c r="CP269" s="12"/>
      <c r="CQ269" s="12"/>
      <c r="CR269" s="12"/>
      <c r="CS269" s="12"/>
      <c r="CT269" s="12"/>
      <c r="CU269" s="12"/>
      <c r="CV269" s="12"/>
      <c r="CW269" s="12"/>
      <c r="CX269" s="180"/>
      <c r="CY269" s="31"/>
      <c r="CZ269" s="31"/>
      <c r="DA269" s="31"/>
      <c r="DB269" s="31"/>
      <c r="DC269" s="31"/>
      <c r="DD269" s="31"/>
      <c r="DE269" s="31"/>
      <c r="DF269" s="31"/>
      <c r="DG269" s="31"/>
      <c r="DH269" s="31"/>
      <c r="DI269" s="31"/>
      <c r="DJ269" s="31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31"/>
      <c r="EE269" s="12"/>
      <c r="EF269" s="12"/>
      <c r="EG269" s="12"/>
      <c r="EH269" s="12"/>
      <c r="EI269" s="12"/>
      <c r="EJ269" s="28"/>
    </row>
    <row r="270" spans="1:140" ht="18" customHeight="1">
      <c r="A270" s="59">
        <v>70</v>
      </c>
      <c r="B270" s="52" t="s">
        <v>1533</v>
      </c>
      <c r="C270" s="51" t="s">
        <v>498</v>
      </c>
      <c r="D270" s="50">
        <f>1000+300+300</f>
        <v>1600</v>
      </c>
      <c r="E270" s="79" t="s">
        <v>1647</v>
      </c>
      <c r="F270" s="81" t="s">
        <v>1099</v>
      </c>
      <c r="G270" s="140">
        <f>2000*12-2000*8+2000*6-1700+2500*6-1500-1250-1250</f>
        <v>29300</v>
      </c>
      <c r="H270" s="84" t="s">
        <v>1099</v>
      </c>
      <c r="I270" s="89">
        <f>200*12-200*8+400*6+400*4-400+400-45-75-180+145</f>
        <v>4645</v>
      </c>
      <c r="J270" s="52"/>
      <c r="K270" s="11"/>
      <c r="L270" s="8">
        <f t="shared" si="117"/>
        <v>35545</v>
      </c>
      <c r="M270" s="29">
        <f>SUM(O270:DS270)</f>
        <v>33945</v>
      </c>
      <c r="N270" s="29">
        <f t="shared" si="118"/>
        <v>1600</v>
      </c>
      <c r="O270" s="8"/>
      <c r="P270" s="12"/>
      <c r="Q270" s="12"/>
      <c r="R270" s="12"/>
      <c r="S270" s="12"/>
      <c r="T270" s="12"/>
      <c r="U270" s="12"/>
      <c r="V270" s="12"/>
      <c r="W270" s="12">
        <v>1000</v>
      </c>
      <c r="X270" s="12">
        <v>1000</v>
      </c>
      <c r="Y270" s="12">
        <v>2000</v>
      </c>
      <c r="Z270" s="12">
        <f>2000-1700</f>
        <v>300</v>
      </c>
      <c r="AA270" s="12">
        <v>2000</v>
      </c>
      <c r="AB270" s="12">
        <v>2000</v>
      </c>
      <c r="AC270" s="12">
        <v>2000</v>
      </c>
      <c r="AD270" s="31">
        <v>2000</v>
      </c>
      <c r="AE270" s="12">
        <v>2000</v>
      </c>
      <c r="AF270" s="12">
        <v>2000</v>
      </c>
      <c r="AG270" s="12">
        <f>2000-1500</f>
        <v>500</v>
      </c>
      <c r="AH270" s="12">
        <v>2500</v>
      </c>
      <c r="AI270" s="12">
        <v>2500</v>
      </c>
      <c r="AJ270" s="12">
        <v>2500</v>
      </c>
      <c r="AK270" s="12">
        <v>2500</v>
      </c>
      <c r="AL270" s="12">
        <f>2500/2</f>
        <v>1250</v>
      </c>
      <c r="AM270" s="12">
        <f>2500/2</f>
        <v>1250</v>
      </c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39"/>
      <c r="BM270" s="12"/>
      <c r="BN270" s="12"/>
      <c r="BO270" s="12"/>
      <c r="BP270" s="12"/>
      <c r="BQ270" s="12"/>
      <c r="BR270" s="12"/>
      <c r="BS270" s="12"/>
      <c r="BT270" s="12"/>
      <c r="BU270" s="12">
        <v>100</v>
      </c>
      <c r="BV270" s="12">
        <v>100</v>
      </c>
      <c r="BW270" s="12">
        <v>200</v>
      </c>
      <c r="BX270" s="12">
        <v>200</v>
      </c>
      <c r="BY270" s="12">
        <v>200</v>
      </c>
      <c r="BZ270" s="12">
        <v>400</v>
      </c>
      <c r="CA270" s="31">
        <v>400</v>
      </c>
      <c r="CB270" s="31">
        <v>400</v>
      </c>
      <c r="CC270" s="31">
        <v>400</v>
      </c>
      <c r="CD270" s="12">
        <v>400</v>
      </c>
      <c r="CE270" s="12">
        <f>400-400</f>
        <v>0</v>
      </c>
      <c r="CF270" s="12">
        <f>400-45</f>
        <v>355</v>
      </c>
      <c r="CG270" s="12">
        <v>400</v>
      </c>
      <c r="CH270" s="12">
        <f>400-75</f>
        <v>325</v>
      </c>
      <c r="CI270" s="12">
        <v>400</v>
      </c>
      <c r="CJ270" s="12">
        <f>400-180</f>
        <v>220</v>
      </c>
      <c r="CK270" s="31">
        <v>145</v>
      </c>
      <c r="CL270" s="31"/>
      <c r="CM270" s="31"/>
      <c r="CN270" s="31"/>
      <c r="CO270" s="12"/>
      <c r="CP270" s="92"/>
      <c r="CQ270" s="92"/>
      <c r="CR270" s="92"/>
      <c r="CS270" s="92"/>
      <c r="CT270" s="92"/>
      <c r="CU270" s="92"/>
      <c r="CV270" s="92"/>
      <c r="CW270" s="92"/>
      <c r="CX270" s="180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81"/>
      <c r="DM270" s="181"/>
      <c r="DN270" s="181"/>
      <c r="DO270" s="181"/>
      <c r="DP270" s="181"/>
      <c r="DQ270" s="181"/>
      <c r="DR270" s="12"/>
      <c r="DS270" s="12"/>
      <c r="DT270" s="12"/>
      <c r="DU270" s="12"/>
      <c r="DV270" s="12"/>
      <c r="DW270" s="12"/>
      <c r="DX270" s="55"/>
      <c r="DY270" s="12"/>
      <c r="DZ270" s="12"/>
      <c r="EA270" s="12"/>
      <c r="EB270" s="12"/>
      <c r="EC270" s="12"/>
      <c r="ED270" s="31"/>
      <c r="EE270" s="12"/>
      <c r="EF270" s="12"/>
      <c r="EG270" s="12"/>
      <c r="EH270" s="12"/>
      <c r="EI270" s="12"/>
      <c r="EJ270" s="23"/>
    </row>
    <row r="271" spans="1:140" ht="22.5" customHeight="1">
      <c r="A271" s="59">
        <v>71</v>
      </c>
      <c r="B271" s="52" t="s">
        <v>1533</v>
      </c>
      <c r="C271" s="54" t="s">
        <v>1648</v>
      </c>
      <c r="D271" s="50">
        <f>1200+150</f>
        <v>1350</v>
      </c>
      <c r="E271" s="79" t="s">
        <v>1649</v>
      </c>
      <c r="F271" s="59" t="s">
        <v>1650</v>
      </c>
      <c r="G271" s="142">
        <f>2500*9-1250-2000-2000-2000-2000</f>
        <v>13250</v>
      </c>
      <c r="H271" s="52" t="s">
        <v>1651</v>
      </c>
      <c r="I271" s="89">
        <f>400+400+400*3-90-225-60-75</f>
        <v>1550</v>
      </c>
      <c r="J271" s="52"/>
      <c r="K271" s="11"/>
      <c r="L271" s="8">
        <f t="shared" si="117"/>
        <v>16150</v>
      </c>
      <c r="M271" s="29">
        <f>SUM(O271:DX271)</f>
        <v>14800</v>
      </c>
      <c r="N271" s="29">
        <f t="shared" si="118"/>
        <v>1350</v>
      </c>
      <c r="O271" s="8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31"/>
      <c r="AB271" s="31"/>
      <c r="AC271" s="31"/>
      <c r="AD271" s="31"/>
      <c r="AE271" s="31">
        <v>2500</v>
      </c>
      <c r="AF271" s="31">
        <f>2500/2</f>
        <v>1250</v>
      </c>
      <c r="AG271" s="31">
        <f>2500-2000</f>
        <v>500</v>
      </c>
      <c r="AH271" s="31">
        <f>2500-2000</f>
        <v>500</v>
      </c>
      <c r="AI271" s="31">
        <f>2500-2000</f>
        <v>500</v>
      </c>
      <c r="AJ271" s="31">
        <f>2500-2000</f>
        <v>500</v>
      </c>
      <c r="AK271" s="31">
        <v>2500</v>
      </c>
      <c r="AL271" s="31">
        <v>2500</v>
      </c>
      <c r="AM271" s="31">
        <v>2500</v>
      </c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9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>
        <f>400-90</f>
        <v>310</v>
      </c>
      <c r="CD271" s="12">
        <f>400-225</f>
        <v>175</v>
      </c>
      <c r="CE271" s="12"/>
      <c r="CF271" s="12"/>
      <c r="CG271" s="12"/>
      <c r="CH271" s="12"/>
      <c r="CI271" s="12">
        <f>400-60</f>
        <v>340</v>
      </c>
      <c r="CJ271" s="12">
        <f>400-75</f>
        <v>325</v>
      </c>
      <c r="CK271" s="31">
        <v>400</v>
      </c>
      <c r="CL271" s="31"/>
      <c r="CM271" s="31"/>
      <c r="CN271" s="31"/>
      <c r="CO271" s="12"/>
      <c r="CP271" s="12"/>
      <c r="CQ271" s="12"/>
      <c r="CR271" s="12"/>
      <c r="CS271" s="12"/>
      <c r="CT271" s="12"/>
      <c r="CU271" s="12"/>
      <c r="CV271" s="12"/>
      <c r="CW271" s="12"/>
      <c r="CX271" s="180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31"/>
      <c r="EE271" s="12"/>
      <c r="EF271" s="12"/>
      <c r="EG271" s="12"/>
      <c r="EH271" s="12"/>
      <c r="EI271" s="12"/>
      <c r="EJ271" s="23"/>
    </row>
    <row r="272" spans="1:140" ht="18" customHeight="1">
      <c r="A272" s="59">
        <v>72</v>
      </c>
      <c r="B272" s="52" t="s">
        <v>1533</v>
      </c>
      <c r="C272" s="49" t="s">
        <v>1652</v>
      </c>
      <c r="D272" s="50">
        <f>1500+1000+300+300</f>
        <v>3100</v>
      </c>
      <c r="E272" s="79" t="s">
        <v>1653</v>
      </c>
      <c r="F272" s="59" t="s">
        <v>1654</v>
      </c>
      <c r="G272" s="138">
        <f>37800-8050-4152+2000*6-700-454-1500+2500*6-1500+2500*6-1250-2500*6</f>
        <v>47194</v>
      </c>
      <c r="H272" s="52" t="s">
        <v>1654</v>
      </c>
      <c r="I272" s="89">
        <f>3960-300-870+2160+400-285+400+400*2-15-400-45+400+400*2+400*3+400-135-400</f>
        <v>8070</v>
      </c>
      <c r="J272" s="52" t="s">
        <v>1655</v>
      </c>
      <c r="K272" s="8">
        <f>900-300+200*6-200+400*3-200</f>
        <v>2600</v>
      </c>
      <c r="L272" s="8">
        <f t="shared" si="117"/>
        <v>60964</v>
      </c>
      <c r="M272" s="8">
        <f>SUM(O272:EC272)</f>
        <v>58264</v>
      </c>
      <c r="N272" s="8">
        <f t="shared" si="118"/>
        <v>2700</v>
      </c>
      <c r="O272" s="8">
        <v>3150</v>
      </c>
      <c r="P272" s="8">
        <v>3150</v>
      </c>
      <c r="Q272" s="8">
        <v>2148</v>
      </c>
      <c r="R272" s="8">
        <v>3150</v>
      </c>
      <c r="S272" s="8"/>
      <c r="T272" s="8">
        <v>2000</v>
      </c>
      <c r="U272" s="8">
        <v>2000</v>
      </c>
      <c r="V272" s="8">
        <v>2000</v>
      </c>
      <c r="W272" s="8">
        <v>1000</v>
      </c>
      <c r="X272" s="8">
        <v>1000</v>
      </c>
      <c r="Y272" s="8">
        <f>2000-700</f>
        <v>1300</v>
      </c>
      <c r="Z272" s="8">
        <f>2000-454</f>
        <v>1546</v>
      </c>
      <c r="AA272" s="8">
        <v>2000</v>
      </c>
      <c r="AB272" s="8">
        <v>2000</v>
      </c>
      <c r="AC272" s="8">
        <f>2000-1500</f>
        <v>500</v>
      </c>
      <c r="AD272" s="29">
        <v>2000</v>
      </c>
      <c r="AE272" s="8">
        <v>2000</v>
      </c>
      <c r="AF272" s="8">
        <v>2000</v>
      </c>
      <c r="AG272" s="8">
        <f>2000-1500</f>
        <v>500</v>
      </c>
      <c r="AH272" s="8">
        <v>2500</v>
      </c>
      <c r="AI272" s="8">
        <v>2500</v>
      </c>
      <c r="AJ272" s="8">
        <v>2500</v>
      </c>
      <c r="AK272" s="8">
        <f>2500/2</f>
        <v>1250</v>
      </c>
      <c r="AL272" s="8">
        <v>2500</v>
      </c>
      <c r="AM272" s="8">
        <v>2500</v>
      </c>
      <c r="AN272" s="8">
        <f t="shared" ref="AN272:AS272" si="121">2500-2500</f>
        <v>0</v>
      </c>
      <c r="AO272" s="8">
        <f t="shared" si="121"/>
        <v>0</v>
      </c>
      <c r="AP272" s="8">
        <f t="shared" si="121"/>
        <v>0</v>
      </c>
      <c r="AQ272" s="8">
        <f t="shared" si="121"/>
        <v>0</v>
      </c>
      <c r="AR272" s="8">
        <f t="shared" si="121"/>
        <v>0</v>
      </c>
      <c r="AS272" s="8">
        <f t="shared" si="121"/>
        <v>0</v>
      </c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38"/>
      <c r="BM272" s="8">
        <v>660</v>
      </c>
      <c r="BN272" s="8">
        <v>660</v>
      </c>
      <c r="BO272" s="8">
        <v>450</v>
      </c>
      <c r="BP272" s="8">
        <v>660</v>
      </c>
      <c r="BQ272" s="8"/>
      <c r="BR272" s="8">
        <v>360</v>
      </c>
      <c r="BS272" s="8">
        <v>360</v>
      </c>
      <c r="BT272" s="8">
        <v>360</v>
      </c>
      <c r="BU272" s="8">
        <v>180</v>
      </c>
      <c r="BV272" s="8">
        <f>180-15</f>
        <v>165</v>
      </c>
      <c r="BW272" s="8">
        <f>360-126</f>
        <v>234</v>
      </c>
      <c r="BX272" s="8">
        <f>360-144</f>
        <v>216</v>
      </c>
      <c r="BY272" s="8">
        <f>360-15</f>
        <v>345</v>
      </c>
      <c r="BZ272" s="8">
        <v>400</v>
      </c>
      <c r="CA272" s="29">
        <f>400-400</f>
        <v>0</v>
      </c>
      <c r="CB272" s="29">
        <f>400-45</f>
        <v>355</v>
      </c>
      <c r="CC272" s="29">
        <v>400</v>
      </c>
      <c r="CD272" s="29">
        <v>400</v>
      </c>
      <c r="CE272" s="8"/>
      <c r="CF272" s="8">
        <v>400</v>
      </c>
      <c r="CG272" s="8">
        <v>400</v>
      </c>
      <c r="CH272" s="8">
        <v>400</v>
      </c>
      <c r="CI272" s="8">
        <f>400-135</f>
        <v>265</v>
      </c>
      <c r="CJ272" s="8">
        <v>400</v>
      </c>
      <c r="CK272" s="29">
        <v>400</v>
      </c>
      <c r="CL272" s="29">
        <f>400-400</f>
        <v>0</v>
      </c>
      <c r="CM272" s="29"/>
      <c r="CN272" s="29"/>
      <c r="CO272" s="8"/>
      <c r="CP272" s="92"/>
      <c r="CQ272" s="92"/>
      <c r="CR272" s="92"/>
      <c r="CS272" s="92"/>
      <c r="CT272" s="92"/>
      <c r="CU272" s="92"/>
      <c r="CV272" s="92"/>
      <c r="CW272" s="92"/>
      <c r="CX272" s="178"/>
      <c r="CY272" s="8"/>
      <c r="CZ272" s="8"/>
      <c r="DA272" s="8"/>
      <c r="DB272" s="8">
        <v>300</v>
      </c>
      <c r="DC272" s="8">
        <v>300</v>
      </c>
      <c r="DD272" s="8"/>
      <c r="DE272" s="8"/>
      <c r="DF272" s="8"/>
      <c r="DG272" s="8"/>
      <c r="DH272" s="8"/>
      <c r="DI272" s="8"/>
      <c r="DJ272" s="8"/>
      <c r="DK272" s="8"/>
      <c r="DL272" s="179">
        <v>200</v>
      </c>
      <c r="DM272" s="179">
        <f>200-200</f>
        <v>0</v>
      </c>
      <c r="DN272" s="179">
        <v>200</v>
      </c>
      <c r="DO272" s="179">
        <v>200</v>
      </c>
      <c r="DP272" s="179">
        <v>200</v>
      </c>
      <c r="DQ272" s="179">
        <f>200-200</f>
        <v>0</v>
      </c>
      <c r="DR272" s="8">
        <v>400</v>
      </c>
      <c r="DS272" s="8">
        <v>400</v>
      </c>
      <c r="DT272" s="8">
        <v>400</v>
      </c>
      <c r="DU272" s="8"/>
      <c r="DV272" s="8"/>
      <c r="DW272" s="8"/>
      <c r="DX272" s="55"/>
      <c r="DY272" s="8"/>
      <c r="DZ272" s="8"/>
      <c r="EA272" s="8"/>
      <c r="EB272" s="8"/>
      <c r="EC272" s="8"/>
      <c r="ED272" s="29"/>
      <c r="EE272" s="8"/>
      <c r="EF272" s="8"/>
      <c r="EG272" s="8"/>
      <c r="EH272" s="8"/>
      <c r="EI272" s="8"/>
      <c r="EJ272" s="23"/>
    </row>
    <row r="273" spans="1:140" ht="18" customHeight="1">
      <c r="A273" s="59">
        <v>73</v>
      </c>
      <c r="B273" s="52" t="s">
        <v>1533</v>
      </c>
      <c r="C273" s="51" t="s">
        <v>1656</v>
      </c>
      <c r="D273" s="50">
        <f>1000+300+300</f>
        <v>1600</v>
      </c>
      <c r="E273" s="79" t="s">
        <v>1657</v>
      </c>
      <c r="F273" s="59" t="s">
        <v>1658</v>
      </c>
      <c r="G273" s="138">
        <f>1900*12+2000*6-1900*6-1900/2-1500+2500*6-1000-1500-1250-1250-1250</f>
        <v>29700</v>
      </c>
      <c r="H273" s="52" t="s">
        <v>1572</v>
      </c>
      <c r="I273" s="89">
        <f>400+400+400*3+400-45-195+400*4-400-150-195+220</f>
        <v>3235</v>
      </c>
      <c r="J273" s="52"/>
      <c r="K273" s="8"/>
      <c r="L273" s="8">
        <f t="shared" si="117"/>
        <v>34535</v>
      </c>
      <c r="M273" s="8">
        <f>SUM(O273:DW273)</f>
        <v>32935</v>
      </c>
      <c r="N273" s="8">
        <f t="shared" si="118"/>
        <v>1600</v>
      </c>
      <c r="O273" s="8"/>
      <c r="P273" s="8"/>
      <c r="Q273" s="8"/>
      <c r="R273" s="8"/>
      <c r="S273" s="8"/>
      <c r="T273" s="8"/>
      <c r="U273" s="8">
        <v>1900</v>
      </c>
      <c r="V273" s="8">
        <v>1900</v>
      </c>
      <c r="W273" s="8">
        <v>950</v>
      </c>
      <c r="X273" s="8">
        <v>950</v>
      </c>
      <c r="Y273" s="8">
        <v>1900</v>
      </c>
      <c r="Z273" s="8">
        <f>1900/2</f>
        <v>950</v>
      </c>
      <c r="AA273" s="8">
        <v>1900</v>
      </c>
      <c r="AB273" s="8">
        <v>2000</v>
      </c>
      <c r="AC273" s="8">
        <f>2000-1500</f>
        <v>500</v>
      </c>
      <c r="AD273" s="29">
        <v>2000</v>
      </c>
      <c r="AE273" s="8">
        <v>2000</v>
      </c>
      <c r="AF273" s="8">
        <f>2000-1000</f>
        <v>1000</v>
      </c>
      <c r="AG273" s="8">
        <f>2000-1500</f>
        <v>500</v>
      </c>
      <c r="AH273" s="8">
        <v>2500</v>
      </c>
      <c r="AI273" s="8">
        <v>2500</v>
      </c>
      <c r="AJ273" s="8">
        <v>2500</v>
      </c>
      <c r="AK273" s="8">
        <f>2500/2</f>
        <v>1250</v>
      </c>
      <c r="AL273" s="8">
        <f>2500/2</f>
        <v>1250</v>
      </c>
      <c r="AM273" s="8">
        <f>2500/2</f>
        <v>1250</v>
      </c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3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>
        <v>400</v>
      </c>
      <c r="CA273" s="29"/>
      <c r="CB273" s="29">
        <v>400</v>
      </c>
      <c r="CC273" s="29">
        <f>400-45</f>
        <v>355</v>
      </c>
      <c r="CD273" s="29">
        <f>400-195</f>
        <v>205</v>
      </c>
      <c r="CE273" s="8">
        <f>400-400</f>
        <v>0</v>
      </c>
      <c r="CF273" s="29">
        <v>400</v>
      </c>
      <c r="CG273" s="29">
        <v>400</v>
      </c>
      <c r="CH273" s="29">
        <v>400</v>
      </c>
      <c r="CI273" s="29">
        <f>400-150</f>
        <v>250</v>
      </c>
      <c r="CJ273" s="29">
        <f>400-195</f>
        <v>205</v>
      </c>
      <c r="CK273" s="29">
        <v>220</v>
      </c>
      <c r="CL273" s="29"/>
      <c r="CM273" s="29"/>
      <c r="CN273" s="29"/>
      <c r="CO273" s="8"/>
      <c r="CP273" s="92"/>
      <c r="CQ273" s="92"/>
      <c r="CR273" s="92"/>
      <c r="CS273" s="92"/>
      <c r="CT273" s="92"/>
      <c r="CU273" s="92"/>
      <c r="CV273" s="92"/>
      <c r="CW273" s="92"/>
      <c r="CX273" s="17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179"/>
      <c r="DM273" s="179"/>
      <c r="DN273" s="179"/>
      <c r="DO273" s="179"/>
      <c r="DP273" s="179"/>
      <c r="DQ273" s="179"/>
      <c r="DR273" s="8"/>
      <c r="DS273" s="8"/>
      <c r="DT273" s="8"/>
      <c r="DU273" s="8"/>
      <c r="DV273" s="8"/>
      <c r="DW273" s="8"/>
      <c r="DX273" s="55"/>
      <c r="DY273" s="8"/>
      <c r="DZ273" s="8"/>
      <c r="EA273" s="8"/>
      <c r="EB273" s="8"/>
      <c r="EC273" s="8"/>
      <c r="ED273" s="29"/>
      <c r="EE273" s="8"/>
      <c r="EF273" s="8"/>
      <c r="EG273" s="8"/>
      <c r="EH273" s="8"/>
      <c r="EI273" s="8"/>
      <c r="EJ273" s="23"/>
    </row>
    <row r="274" spans="1:140" s="32" customFormat="1" ht="22.5" customHeight="1">
      <c r="A274" s="59">
        <v>74</v>
      </c>
      <c r="B274" s="52" t="s">
        <v>1533</v>
      </c>
      <c r="C274" s="51" t="s">
        <v>1659</v>
      </c>
      <c r="D274" s="50">
        <f>1200+300</f>
        <v>1500</v>
      </c>
      <c r="E274" s="80" t="s">
        <v>1660</v>
      </c>
      <c r="F274" s="52" t="s">
        <v>1661</v>
      </c>
      <c r="G274" s="141">
        <f>2500*6</f>
        <v>15000</v>
      </c>
      <c r="H274" s="52" t="s">
        <v>1661</v>
      </c>
      <c r="I274" s="89">
        <f>400+400+400*4-60-45</f>
        <v>2295</v>
      </c>
      <c r="J274" s="52"/>
      <c r="K274" s="30"/>
      <c r="L274" s="29">
        <f t="shared" si="117"/>
        <v>18795</v>
      </c>
      <c r="M274" s="29">
        <f>SUM(O274:DS274)</f>
        <v>17295</v>
      </c>
      <c r="N274" s="29">
        <f t="shared" si="118"/>
        <v>1500</v>
      </c>
      <c r="O274" s="29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>
        <v>2500</v>
      </c>
      <c r="AI274" s="31">
        <v>2500</v>
      </c>
      <c r="AJ274" s="31">
        <v>2500</v>
      </c>
      <c r="AK274" s="31">
        <v>2500</v>
      </c>
      <c r="AL274" s="31">
        <v>2500</v>
      </c>
      <c r="AM274" s="31">
        <v>2500</v>
      </c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9"/>
      <c r="BM274" s="31"/>
      <c r="BN274" s="31"/>
      <c r="BO274" s="31"/>
      <c r="BP274" s="31"/>
      <c r="BQ274" s="31"/>
      <c r="BR274" s="31"/>
      <c r="BS274" s="28"/>
      <c r="BT274" s="31"/>
      <c r="BU274" s="31"/>
      <c r="BV274" s="31"/>
      <c r="BW274" s="31"/>
      <c r="BX274" s="31"/>
      <c r="BY274" s="31"/>
      <c r="BZ274" s="31"/>
      <c r="CA274" s="31"/>
      <c r="CB274" s="31"/>
      <c r="CC274" s="31"/>
      <c r="CD274" s="31"/>
      <c r="CE274" s="31"/>
      <c r="CF274" s="31">
        <v>400</v>
      </c>
      <c r="CG274" s="31">
        <f>400-60</f>
        <v>340</v>
      </c>
      <c r="CH274" s="31">
        <v>400</v>
      </c>
      <c r="CI274" s="31">
        <v>400</v>
      </c>
      <c r="CJ274" s="31">
        <f>400-45</f>
        <v>355</v>
      </c>
      <c r="CK274" s="31">
        <v>400</v>
      </c>
      <c r="CL274" s="31"/>
      <c r="CM274" s="31"/>
      <c r="CN274" s="31"/>
      <c r="CO274" s="31"/>
      <c r="CP274" s="31"/>
      <c r="CQ274" s="31"/>
      <c r="CR274" s="31"/>
      <c r="CS274" s="31"/>
      <c r="CT274" s="31"/>
      <c r="CU274" s="31"/>
      <c r="CV274" s="31"/>
      <c r="CW274" s="31"/>
      <c r="CX274" s="180"/>
      <c r="CY274" s="31"/>
      <c r="CZ274" s="31"/>
      <c r="DA274" s="31"/>
      <c r="DB274" s="31"/>
      <c r="DC274" s="31"/>
      <c r="DD274" s="31"/>
      <c r="DE274" s="31"/>
      <c r="DF274" s="31"/>
      <c r="DG274" s="31"/>
      <c r="DH274" s="31"/>
      <c r="DI274" s="31"/>
      <c r="DJ274" s="31"/>
      <c r="DK274" s="31"/>
      <c r="DL274" s="182"/>
      <c r="DM274" s="182"/>
      <c r="DN274" s="182"/>
      <c r="DO274" s="182"/>
      <c r="DP274" s="182"/>
      <c r="DQ274" s="182"/>
      <c r="DR274" s="31"/>
      <c r="DS274" s="31"/>
      <c r="DT274" s="31"/>
      <c r="DU274" s="31"/>
      <c r="DV274" s="31"/>
      <c r="DW274" s="31"/>
      <c r="DX274" s="31"/>
      <c r="DY274" s="31"/>
      <c r="DZ274" s="31"/>
      <c r="EA274" s="31"/>
      <c r="EB274" s="31"/>
      <c r="EC274" s="31"/>
      <c r="ED274" s="31"/>
      <c r="EE274" s="31"/>
      <c r="EF274" s="31"/>
      <c r="EG274" s="31"/>
      <c r="EH274" s="31"/>
      <c r="EI274" s="31"/>
      <c r="EJ274" s="28"/>
    </row>
    <row r="275" spans="1:140" s="28" customFormat="1" ht="18" customHeight="1">
      <c r="A275" s="59">
        <v>75</v>
      </c>
      <c r="B275" s="52" t="s">
        <v>1533</v>
      </c>
      <c r="C275" s="52" t="s">
        <v>1662</v>
      </c>
      <c r="D275" s="50">
        <f>1200+300+300</f>
        <v>1800</v>
      </c>
      <c r="E275" s="52" t="s">
        <v>1663</v>
      </c>
      <c r="F275" s="52" t="s">
        <v>1572</v>
      </c>
      <c r="G275" s="140">
        <f>2500*6+2500*6-1250</f>
        <v>28750</v>
      </c>
      <c r="H275" s="52" t="s">
        <v>1572</v>
      </c>
      <c r="I275" s="89">
        <f>400*6+400*6-45-60-225-75</f>
        <v>4395</v>
      </c>
      <c r="J275" s="52" t="s">
        <v>1572</v>
      </c>
      <c r="K275" s="30">
        <f>200*6+400*6</f>
        <v>3600</v>
      </c>
      <c r="L275" s="30">
        <f t="shared" si="117"/>
        <v>38545</v>
      </c>
      <c r="M275" s="29">
        <f>SUM(O275:DX275)</f>
        <v>36745</v>
      </c>
      <c r="N275" s="29">
        <f t="shared" si="118"/>
        <v>1800</v>
      </c>
      <c r="Z275" s="31"/>
      <c r="AA275" s="31"/>
      <c r="AB275" s="31">
        <v>2500</v>
      </c>
      <c r="AC275" s="31">
        <v>2500</v>
      </c>
      <c r="AD275" s="31">
        <v>2500</v>
      </c>
      <c r="AE275" s="31">
        <f>2500/2</f>
        <v>1250</v>
      </c>
      <c r="AF275" s="31">
        <v>2500</v>
      </c>
      <c r="AG275" s="31">
        <v>2500</v>
      </c>
      <c r="AH275" s="31">
        <v>2500</v>
      </c>
      <c r="AI275" s="31">
        <v>2500</v>
      </c>
      <c r="AJ275" s="31">
        <v>2500</v>
      </c>
      <c r="AK275" s="31">
        <v>2500</v>
      </c>
      <c r="AL275" s="31">
        <v>2500</v>
      </c>
      <c r="AM275" s="31">
        <v>2500</v>
      </c>
      <c r="BL275" s="40"/>
      <c r="BY275" s="12"/>
      <c r="BZ275" s="12">
        <f>400-45</f>
        <v>355</v>
      </c>
      <c r="CA275" s="12">
        <v>400</v>
      </c>
      <c r="CB275" s="12">
        <f>400-60</f>
        <v>340</v>
      </c>
      <c r="CC275" s="12">
        <f>400-225</f>
        <v>175</v>
      </c>
      <c r="CD275" s="12">
        <v>400</v>
      </c>
      <c r="CE275" s="12">
        <f>400-75</f>
        <v>325</v>
      </c>
      <c r="CF275" s="12">
        <v>400</v>
      </c>
      <c r="CG275" s="12">
        <v>400</v>
      </c>
      <c r="CH275" s="12">
        <v>400</v>
      </c>
      <c r="CI275" s="12">
        <v>400</v>
      </c>
      <c r="CJ275" s="12">
        <v>400</v>
      </c>
      <c r="CK275" s="31">
        <v>400</v>
      </c>
      <c r="CL275" s="31"/>
      <c r="CM275" s="31"/>
      <c r="CN275" s="31"/>
      <c r="CO275" s="12"/>
      <c r="CP275" s="12"/>
      <c r="CQ275" s="12"/>
      <c r="CR275" s="12"/>
      <c r="CS275" s="12"/>
      <c r="CT275" s="12"/>
      <c r="CU275" s="12"/>
      <c r="CV275" s="12"/>
      <c r="CW275" s="12"/>
      <c r="CX275" s="40"/>
      <c r="DK275" s="12"/>
      <c r="DL275" s="12">
        <v>200</v>
      </c>
      <c r="DM275" s="12">
        <v>200</v>
      </c>
      <c r="DN275" s="12">
        <v>200</v>
      </c>
      <c r="DO275" s="12">
        <v>200</v>
      </c>
      <c r="DP275" s="12">
        <v>200</v>
      </c>
      <c r="DQ275" s="12">
        <v>200</v>
      </c>
      <c r="DR275" s="12">
        <v>400</v>
      </c>
      <c r="DS275" s="12">
        <v>400</v>
      </c>
      <c r="DT275" s="12">
        <v>400</v>
      </c>
      <c r="DU275" s="12">
        <v>400</v>
      </c>
      <c r="DV275" s="12">
        <v>400</v>
      </c>
      <c r="DW275" s="12">
        <v>400</v>
      </c>
      <c r="DX275" s="12"/>
      <c r="DY275" s="12"/>
      <c r="DZ275" s="12"/>
      <c r="EA275" s="12"/>
      <c r="EB275" s="12"/>
      <c r="EC275" s="12"/>
      <c r="ED275" s="31"/>
      <c r="EE275" s="12"/>
      <c r="EF275" s="12"/>
      <c r="EG275" s="12"/>
      <c r="EH275" s="12"/>
      <c r="EI275" s="12"/>
    </row>
    <row r="276" spans="1:140" s="32" customFormat="1" ht="17.25" customHeight="1">
      <c r="A276" s="59">
        <v>76</v>
      </c>
      <c r="B276" s="52" t="s">
        <v>1533</v>
      </c>
      <c r="C276" s="51" t="s">
        <v>531</v>
      </c>
      <c r="D276" s="50">
        <f>1200+300+300</f>
        <v>1800</v>
      </c>
      <c r="E276" s="80" t="s">
        <v>1664</v>
      </c>
      <c r="F276" s="52" t="s">
        <v>1572</v>
      </c>
      <c r="G276" s="141">
        <f>2000*6+2500*6-1000-1500-2000</f>
        <v>22500</v>
      </c>
      <c r="H276" s="52" t="s">
        <v>1622</v>
      </c>
      <c r="I276" s="89">
        <f>400+400*2+400*2+400*5-210</f>
        <v>3790</v>
      </c>
      <c r="J276" s="52"/>
      <c r="K276" s="30"/>
      <c r="L276" s="8">
        <f t="shared" si="117"/>
        <v>28090</v>
      </c>
      <c r="M276" s="29">
        <f t="shared" ref="M276:M283" si="122">SUM(O276:DS276)</f>
        <v>26290</v>
      </c>
      <c r="N276" s="29">
        <f t="shared" si="118"/>
        <v>1800</v>
      </c>
      <c r="O276" s="29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>
        <v>2000</v>
      </c>
      <c r="AC276" s="31">
        <v>2000</v>
      </c>
      <c r="AD276" s="31">
        <v>2000</v>
      </c>
      <c r="AE276" s="31">
        <v>2000</v>
      </c>
      <c r="AF276" s="31">
        <f>2000/2</f>
        <v>1000</v>
      </c>
      <c r="AG276" s="31">
        <f>2000-1500</f>
        <v>500</v>
      </c>
      <c r="AH276" s="31">
        <v>2500</v>
      </c>
      <c r="AI276" s="31">
        <v>2500</v>
      </c>
      <c r="AJ276" s="31">
        <v>2500</v>
      </c>
      <c r="AK276" s="31">
        <v>2500</v>
      </c>
      <c r="AL276" s="31">
        <v>2500</v>
      </c>
      <c r="AM276" s="31">
        <f>2500-2000</f>
        <v>500</v>
      </c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9"/>
      <c r="BM276" s="31"/>
      <c r="BN276" s="31"/>
      <c r="BO276" s="31"/>
      <c r="BP276" s="31"/>
      <c r="BQ276" s="31"/>
      <c r="BR276" s="31"/>
      <c r="BS276" s="31"/>
      <c r="BT276" s="31"/>
      <c r="BU276" s="31"/>
      <c r="BV276" s="31"/>
      <c r="BW276" s="31"/>
      <c r="BX276" s="31"/>
      <c r="BY276" s="12"/>
      <c r="BZ276" s="12">
        <v>400</v>
      </c>
      <c r="CA276" s="12">
        <v>400</v>
      </c>
      <c r="CB276" s="12">
        <v>400</v>
      </c>
      <c r="CC276" s="12">
        <v>400</v>
      </c>
      <c r="CD276" s="12">
        <f>400-210</f>
        <v>190</v>
      </c>
      <c r="CE276" s="12"/>
      <c r="CF276" s="12">
        <v>400</v>
      </c>
      <c r="CG276" s="12">
        <v>400</v>
      </c>
      <c r="CH276" s="12">
        <v>400</v>
      </c>
      <c r="CI276" s="12">
        <v>400</v>
      </c>
      <c r="CJ276" s="12">
        <v>400</v>
      </c>
      <c r="CK276" s="31"/>
      <c r="CL276" s="31"/>
      <c r="CM276" s="31"/>
      <c r="CN276" s="31"/>
      <c r="CO276" s="12"/>
      <c r="CP276" s="12"/>
      <c r="CQ276" s="12"/>
      <c r="CR276" s="12"/>
      <c r="CS276" s="12"/>
      <c r="CT276" s="12"/>
      <c r="CU276" s="12"/>
      <c r="CV276" s="12"/>
      <c r="CW276" s="12"/>
      <c r="CX276" s="180"/>
      <c r="CY276" s="31"/>
      <c r="CZ276" s="31"/>
      <c r="DA276" s="31"/>
      <c r="DB276" s="31"/>
      <c r="DC276" s="31"/>
      <c r="DD276" s="31"/>
      <c r="DE276" s="31"/>
      <c r="DF276" s="31"/>
      <c r="DG276" s="31"/>
      <c r="DH276" s="31"/>
      <c r="DI276" s="31"/>
      <c r="DJ276" s="31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31"/>
      <c r="EE276" s="12"/>
      <c r="EF276" s="12"/>
      <c r="EG276" s="12"/>
      <c r="EH276" s="12"/>
      <c r="EI276" s="12"/>
      <c r="EJ276" s="28"/>
    </row>
    <row r="277" spans="1:140" s="28" customFormat="1" ht="18" customHeight="1">
      <c r="A277" s="59">
        <v>77</v>
      </c>
      <c r="B277" s="52" t="s">
        <v>1533</v>
      </c>
      <c r="C277" s="51" t="s">
        <v>1665</v>
      </c>
      <c r="D277" s="50">
        <f>1500+300+600-600</f>
        <v>1800</v>
      </c>
      <c r="E277" s="52" t="s">
        <v>1666</v>
      </c>
      <c r="F277" s="52" t="s">
        <v>1667</v>
      </c>
      <c r="G277" s="140">
        <f>2000*6+2500*5-1500+2500*6-2500*5</f>
        <v>25500</v>
      </c>
      <c r="H277" s="52" t="s">
        <v>1667</v>
      </c>
      <c r="I277" s="89">
        <f>400*6+400*5-75-400+400*6-45-400*6</f>
        <v>3880</v>
      </c>
      <c r="J277" s="52"/>
      <c r="L277" s="8">
        <f t="shared" si="117"/>
        <v>31180</v>
      </c>
      <c r="M277" s="29">
        <f t="shared" si="122"/>
        <v>29380</v>
      </c>
      <c r="N277" s="29">
        <f t="shared" si="118"/>
        <v>1800</v>
      </c>
      <c r="AB277" s="31">
        <v>2000</v>
      </c>
      <c r="AC277" s="31">
        <v>2000</v>
      </c>
      <c r="AD277" s="31">
        <v>2000</v>
      </c>
      <c r="AE277" s="31">
        <v>2000</v>
      </c>
      <c r="AF277" s="31">
        <v>2000</v>
      </c>
      <c r="AG277" s="31">
        <f>2000-1500</f>
        <v>500</v>
      </c>
      <c r="AH277" s="31">
        <v>2500</v>
      </c>
      <c r="AI277" s="31">
        <v>2500</v>
      </c>
      <c r="AJ277" s="31">
        <v>2500</v>
      </c>
      <c r="AK277" s="31">
        <v>2500</v>
      </c>
      <c r="AL277" s="31">
        <v>2500</v>
      </c>
      <c r="AN277" s="31">
        <v>2500</v>
      </c>
      <c r="AO277" s="31">
        <f>2500-2500</f>
        <v>0</v>
      </c>
      <c r="AP277" s="31">
        <f>2500-2500</f>
        <v>0</v>
      </c>
      <c r="AQ277" s="31">
        <f>2500-2500</f>
        <v>0</v>
      </c>
      <c r="AR277" s="31">
        <f>2500-2500</f>
        <v>0</v>
      </c>
      <c r="AS277" s="31">
        <f>2500-2500</f>
        <v>0</v>
      </c>
      <c r="BL277" s="40"/>
      <c r="BY277" s="12"/>
      <c r="BZ277" s="12">
        <v>400</v>
      </c>
      <c r="CA277" s="12">
        <v>400</v>
      </c>
      <c r="CB277" s="12">
        <v>400</v>
      </c>
      <c r="CC277" s="12">
        <f>400-75</f>
        <v>325</v>
      </c>
      <c r="CD277" s="12">
        <v>400</v>
      </c>
      <c r="CE277" s="12">
        <f>400-400</f>
        <v>0</v>
      </c>
      <c r="CF277" s="12">
        <v>400</v>
      </c>
      <c r="CG277" s="12">
        <v>400</v>
      </c>
      <c r="CH277" s="12">
        <v>400</v>
      </c>
      <c r="CI277" s="12">
        <f>400-45</f>
        <v>355</v>
      </c>
      <c r="CJ277" s="12">
        <v>400</v>
      </c>
      <c r="CK277" s="31"/>
      <c r="CL277" s="31">
        <f t="shared" ref="CL277:CQ277" si="123">400-400</f>
        <v>0</v>
      </c>
      <c r="CM277" s="31">
        <f t="shared" si="123"/>
        <v>0</v>
      </c>
      <c r="CN277" s="31">
        <f t="shared" si="123"/>
        <v>0</v>
      </c>
      <c r="CO277" s="31">
        <f t="shared" si="123"/>
        <v>0</v>
      </c>
      <c r="CP277" s="31">
        <f t="shared" si="123"/>
        <v>0</v>
      </c>
      <c r="CQ277" s="31">
        <f t="shared" si="123"/>
        <v>0</v>
      </c>
      <c r="CR277" s="31"/>
      <c r="CS277" s="31"/>
      <c r="CT277" s="31"/>
      <c r="CU277" s="31"/>
      <c r="CV277" s="31"/>
      <c r="CW277" s="31"/>
      <c r="CX277" s="40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31"/>
      <c r="EE277" s="12"/>
      <c r="EF277" s="12"/>
      <c r="EG277" s="12"/>
      <c r="EH277" s="12"/>
      <c r="EI277" s="12"/>
    </row>
    <row r="278" spans="1:140" ht="20.25" customHeight="1">
      <c r="A278" s="59">
        <v>78</v>
      </c>
      <c r="B278" s="52" t="s">
        <v>1533</v>
      </c>
      <c r="C278" s="49" t="s">
        <v>1668</v>
      </c>
      <c r="D278" s="50">
        <f>1500+1000+300+300</f>
        <v>3100</v>
      </c>
      <c r="E278" s="79" t="s">
        <v>1669</v>
      </c>
      <c r="F278" s="59" t="s">
        <v>1654</v>
      </c>
      <c r="G278" s="138">
        <f>37800-8050-3150+2000*6+2500*6-1000-1500-1500-2000</f>
        <v>47600</v>
      </c>
      <c r="H278" s="52" t="s">
        <v>1654</v>
      </c>
      <c r="I278" s="89">
        <f>7920-2100-739+400*3+400*3-15-108-16-47+400*6-90-270-400-400-400-75-45</f>
        <v>8015</v>
      </c>
      <c r="J278" s="52"/>
      <c r="K278" s="8"/>
      <c r="L278" s="8">
        <f t="shared" si="117"/>
        <v>58715</v>
      </c>
      <c r="M278" s="8">
        <f t="shared" si="122"/>
        <v>55615</v>
      </c>
      <c r="N278" s="8">
        <f t="shared" si="118"/>
        <v>3100</v>
      </c>
      <c r="O278" s="8">
        <v>3150</v>
      </c>
      <c r="P278" s="8">
        <v>3150</v>
      </c>
      <c r="Q278" s="8">
        <v>3150</v>
      </c>
      <c r="R278" s="8">
        <v>3150</v>
      </c>
      <c r="S278" s="8"/>
      <c r="T278" s="8">
        <v>2000</v>
      </c>
      <c r="U278" s="8">
        <v>2000</v>
      </c>
      <c r="V278" s="8">
        <v>2000</v>
      </c>
      <c r="W278" s="8">
        <v>1000</v>
      </c>
      <c r="X278" s="8">
        <v>1000</v>
      </c>
      <c r="Y278" s="8">
        <v>2000</v>
      </c>
      <c r="Z278" s="8">
        <v>2000</v>
      </c>
      <c r="AA278" s="8">
        <v>2000</v>
      </c>
      <c r="AB278" s="8">
        <v>2000</v>
      </c>
      <c r="AC278" s="8">
        <v>2000</v>
      </c>
      <c r="AD278" s="29">
        <v>2000</v>
      </c>
      <c r="AE278" s="8">
        <f>2000/2</f>
        <v>1000</v>
      </c>
      <c r="AF278" s="8">
        <f>2000-1500</f>
        <v>500</v>
      </c>
      <c r="AG278" s="8">
        <f>2000-1500</f>
        <v>500</v>
      </c>
      <c r="AH278" s="8">
        <v>2500</v>
      </c>
      <c r="AI278" s="8">
        <v>2500</v>
      </c>
      <c r="AJ278" s="8">
        <v>2500</v>
      </c>
      <c r="AK278" s="8">
        <v>2500</v>
      </c>
      <c r="AL278" s="8">
        <v>2500</v>
      </c>
      <c r="AM278" s="8">
        <f>2500-2000</f>
        <v>500</v>
      </c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38"/>
      <c r="BM278" s="8">
        <v>660</v>
      </c>
      <c r="BN278" s="8">
        <v>660</v>
      </c>
      <c r="BO278" s="8">
        <v>660</v>
      </c>
      <c r="BP278" s="8">
        <v>660</v>
      </c>
      <c r="BQ278" s="8"/>
      <c r="BR278" s="8">
        <v>281</v>
      </c>
      <c r="BS278" s="8">
        <v>360</v>
      </c>
      <c r="BT278" s="8">
        <v>360</v>
      </c>
      <c r="BU278" s="8">
        <v>180</v>
      </c>
      <c r="BV278" s="8">
        <f>180-15</f>
        <v>165</v>
      </c>
      <c r="BW278" s="8">
        <f>360-108</f>
        <v>252</v>
      </c>
      <c r="BX278" s="8">
        <f>360-16</f>
        <v>344</v>
      </c>
      <c r="BY278" s="8">
        <f>360-47</f>
        <v>313</v>
      </c>
      <c r="BZ278" s="8">
        <v>400</v>
      </c>
      <c r="CA278" s="29">
        <v>400</v>
      </c>
      <c r="CB278" s="29">
        <f>400-90</f>
        <v>310</v>
      </c>
      <c r="CC278" s="29">
        <f>400-270</f>
        <v>130</v>
      </c>
      <c r="CD278" s="29">
        <f>400-400</f>
        <v>0</v>
      </c>
      <c r="CE278" s="29">
        <f>400-400</f>
        <v>0</v>
      </c>
      <c r="CF278" s="29">
        <v>400</v>
      </c>
      <c r="CG278" s="29">
        <f>400-75</f>
        <v>325</v>
      </c>
      <c r="CH278" s="29">
        <v>400</v>
      </c>
      <c r="CI278" s="29">
        <f>400-45</f>
        <v>355</v>
      </c>
      <c r="CJ278" s="29">
        <v>400</v>
      </c>
      <c r="CK278" s="29">
        <f>400-400</f>
        <v>0</v>
      </c>
      <c r="CL278" s="29"/>
      <c r="CM278" s="29"/>
      <c r="CN278" s="29"/>
      <c r="CO278" s="8"/>
      <c r="CP278" s="92"/>
      <c r="CQ278" s="92"/>
      <c r="CR278" s="92"/>
      <c r="CS278" s="92"/>
      <c r="CT278" s="92"/>
      <c r="CU278" s="92"/>
      <c r="CV278" s="92"/>
      <c r="CW278" s="92"/>
      <c r="CX278" s="17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179"/>
      <c r="DM278" s="179"/>
      <c r="DN278" s="179"/>
      <c r="DO278" s="179"/>
      <c r="DP278" s="179"/>
      <c r="DQ278" s="179"/>
      <c r="DR278" s="8"/>
      <c r="DS278" s="8"/>
      <c r="DT278" s="8"/>
      <c r="DU278" s="8"/>
      <c r="DV278" s="8"/>
      <c r="DW278" s="8"/>
      <c r="DX278" s="55"/>
      <c r="DY278" s="8"/>
      <c r="DZ278" s="8"/>
      <c r="EA278" s="8"/>
      <c r="EB278" s="8"/>
      <c r="EC278" s="8"/>
      <c r="ED278" s="29"/>
      <c r="EE278" s="8"/>
      <c r="EF278" s="8"/>
      <c r="EG278" s="8"/>
      <c r="EH278" s="8"/>
      <c r="EI278" s="8"/>
      <c r="EJ278" s="23"/>
    </row>
    <row r="279" spans="1:140" ht="18" customHeight="1">
      <c r="A279" s="59">
        <v>79</v>
      </c>
      <c r="B279" s="52" t="s">
        <v>1533</v>
      </c>
      <c r="C279" s="51" t="s">
        <v>1670</v>
      </c>
      <c r="D279" s="50">
        <f>1500+1000+300+300</f>
        <v>3100</v>
      </c>
      <c r="E279" s="79" t="s">
        <v>1671</v>
      </c>
      <c r="F279" s="59" t="s">
        <v>1672</v>
      </c>
      <c r="G279" s="138">
        <f>1636+2000*4+2000*6+2500*6-1000-1000-1250</f>
        <v>33386</v>
      </c>
      <c r="H279" s="52" t="s">
        <v>1672</v>
      </c>
      <c r="I279" s="89">
        <f>164+200*4+400+400+400+400-45+400+400-165-255+400+400-45+400+400-150+160</f>
        <v>4464</v>
      </c>
      <c r="J279" s="52" t="s">
        <v>1130</v>
      </c>
      <c r="K279" s="8">
        <f>200*6</f>
        <v>1200</v>
      </c>
      <c r="L279" s="8">
        <f t="shared" si="117"/>
        <v>42150</v>
      </c>
      <c r="M279" s="29">
        <f t="shared" si="122"/>
        <v>37800</v>
      </c>
      <c r="N279" s="29">
        <f t="shared" si="118"/>
        <v>4350</v>
      </c>
      <c r="O279" s="8"/>
      <c r="P279" s="12"/>
      <c r="Q279" s="12"/>
      <c r="R279" s="12"/>
      <c r="S279" s="12"/>
      <c r="T279" s="12"/>
      <c r="U279" s="8"/>
      <c r="V279" s="8">
        <v>1636</v>
      </c>
      <c r="W279" s="8">
        <v>1000</v>
      </c>
      <c r="X279" s="8">
        <v>1000</v>
      </c>
      <c r="Y279" s="8">
        <v>2000</v>
      </c>
      <c r="Z279" s="8">
        <v>2000</v>
      </c>
      <c r="AA279" s="8">
        <v>2000</v>
      </c>
      <c r="AB279" s="8">
        <v>2000</v>
      </c>
      <c r="AC279" s="8">
        <v>2000</v>
      </c>
      <c r="AD279" s="29">
        <v>2000</v>
      </c>
      <c r="AE279" s="8">
        <v>2000</v>
      </c>
      <c r="AF279" s="8">
        <f>2000/2</f>
        <v>1000</v>
      </c>
      <c r="AG279" s="8">
        <f>2000/2</f>
        <v>1000</v>
      </c>
      <c r="AH279" s="8">
        <v>2500</v>
      </c>
      <c r="AI279" s="8">
        <v>2500</v>
      </c>
      <c r="AJ279" s="8">
        <v>2500</v>
      </c>
      <c r="AK279" s="8">
        <f>2500/2</f>
        <v>1250</v>
      </c>
      <c r="AL279" s="8">
        <v>2500</v>
      </c>
      <c r="AM279" s="8">
        <f>2500/2</f>
        <v>1250</v>
      </c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39"/>
      <c r="BM279" s="12"/>
      <c r="BN279" s="12"/>
      <c r="BO279" s="12"/>
      <c r="BP279" s="12"/>
      <c r="BQ279" s="12"/>
      <c r="BR279" s="12"/>
      <c r="BS279" s="12"/>
      <c r="BT279" s="12">
        <v>164</v>
      </c>
      <c r="BU279" s="12">
        <v>100</v>
      </c>
      <c r="BV279" s="12">
        <v>100</v>
      </c>
      <c r="BW279" s="12">
        <v>200</v>
      </c>
      <c r="BX279" s="12">
        <v>200</v>
      </c>
      <c r="BY279" s="12">
        <v>200</v>
      </c>
      <c r="BZ279" s="12">
        <f>400</f>
        <v>400</v>
      </c>
      <c r="CA279" s="31">
        <f>400-45</f>
        <v>355</v>
      </c>
      <c r="CB279" s="31">
        <f>400</f>
        <v>400</v>
      </c>
      <c r="CC279" s="31">
        <f>400-165</f>
        <v>235</v>
      </c>
      <c r="CD279" s="31">
        <f>400-255</f>
        <v>145</v>
      </c>
      <c r="CE279" s="12"/>
      <c r="CF279" s="31">
        <f>400-45</f>
        <v>355</v>
      </c>
      <c r="CG279" s="31">
        <f>400</f>
        <v>400</v>
      </c>
      <c r="CH279" s="31">
        <f>400</f>
        <v>400</v>
      </c>
      <c r="CI279" s="31">
        <f>400-150</f>
        <v>250</v>
      </c>
      <c r="CJ279" s="12">
        <v>400</v>
      </c>
      <c r="CK279" s="31">
        <v>160</v>
      </c>
      <c r="CL279" s="31"/>
      <c r="CM279" s="31"/>
      <c r="CN279" s="31"/>
      <c r="CO279" s="12"/>
      <c r="CP279" s="92"/>
      <c r="CQ279" s="92"/>
      <c r="CR279" s="92"/>
      <c r="CS279" s="92"/>
      <c r="CT279" s="92"/>
      <c r="CU279" s="92"/>
      <c r="CV279" s="92"/>
      <c r="CW279" s="92"/>
      <c r="CX279" s="180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81">
        <v>200</v>
      </c>
      <c r="DM279" s="181">
        <v>200</v>
      </c>
      <c r="DN279" s="181">
        <v>200</v>
      </c>
      <c r="DO279" s="181">
        <v>200</v>
      </c>
      <c r="DP279" s="181">
        <v>200</v>
      </c>
      <c r="DQ279" s="181">
        <v>200</v>
      </c>
      <c r="DR279" s="12"/>
      <c r="DS279" s="12"/>
      <c r="DT279" s="12"/>
      <c r="DU279" s="12"/>
      <c r="DV279" s="12"/>
      <c r="DW279" s="12"/>
      <c r="DX279" s="55"/>
      <c r="DY279" s="12"/>
      <c r="DZ279" s="12"/>
      <c r="EA279" s="12"/>
      <c r="EB279" s="12"/>
      <c r="EC279" s="12"/>
      <c r="ED279" s="31"/>
      <c r="EE279" s="12"/>
      <c r="EF279" s="12"/>
      <c r="EG279" s="12"/>
      <c r="EH279" s="12"/>
      <c r="EI279" s="12"/>
      <c r="EJ279" s="23"/>
    </row>
    <row r="280" spans="1:140" ht="18" customHeight="1">
      <c r="A280" s="59">
        <v>80</v>
      </c>
      <c r="B280" s="52" t="s">
        <v>1533</v>
      </c>
      <c r="C280" s="51" t="s">
        <v>1673</v>
      </c>
      <c r="D280" s="50">
        <f>1500+1000+300+300</f>
        <v>3100</v>
      </c>
      <c r="E280" s="79" t="s">
        <v>1674</v>
      </c>
      <c r="F280" s="59" t="s">
        <v>1672</v>
      </c>
      <c r="G280" s="138">
        <f>1636+2000*4+2000*6+2500*6-1000-1000-1250</f>
        <v>33386</v>
      </c>
      <c r="H280" s="52" t="s">
        <v>1672</v>
      </c>
      <c r="I280" s="89">
        <f>164+200*4+400+400+400+400-45+400-135+400-165-255+400+400+400-75+400-165-45+160</f>
        <v>4239</v>
      </c>
      <c r="J280" s="52" t="s">
        <v>1130</v>
      </c>
      <c r="K280" s="8">
        <f>200*6</f>
        <v>1200</v>
      </c>
      <c r="L280" s="8">
        <f t="shared" si="117"/>
        <v>41925</v>
      </c>
      <c r="M280" s="29">
        <f t="shared" si="122"/>
        <v>37575</v>
      </c>
      <c r="N280" s="29">
        <f t="shared" si="118"/>
        <v>4350</v>
      </c>
      <c r="O280" s="8"/>
      <c r="P280" s="12"/>
      <c r="Q280" s="12"/>
      <c r="R280" s="12"/>
      <c r="S280" s="12"/>
      <c r="T280" s="12"/>
      <c r="U280" s="8"/>
      <c r="V280" s="8">
        <v>1636</v>
      </c>
      <c r="W280" s="8">
        <v>1000</v>
      </c>
      <c r="X280" s="8">
        <v>1000</v>
      </c>
      <c r="Y280" s="8">
        <v>2000</v>
      </c>
      <c r="Z280" s="8">
        <v>2000</v>
      </c>
      <c r="AA280" s="8">
        <v>2000</v>
      </c>
      <c r="AB280" s="8">
        <v>2000</v>
      </c>
      <c r="AC280" s="8">
        <v>2000</v>
      </c>
      <c r="AD280" s="29">
        <v>2000</v>
      </c>
      <c r="AE280" s="8">
        <v>2000</v>
      </c>
      <c r="AF280" s="8">
        <f>2000/2</f>
        <v>1000</v>
      </c>
      <c r="AG280" s="8">
        <f>2000/2</f>
        <v>1000</v>
      </c>
      <c r="AH280" s="8">
        <v>2500</v>
      </c>
      <c r="AI280" s="8">
        <v>2500</v>
      </c>
      <c r="AJ280" s="8">
        <v>2500</v>
      </c>
      <c r="AK280" s="8">
        <f>2500/2</f>
        <v>1250</v>
      </c>
      <c r="AL280" s="8">
        <v>2500</v>
      </c>
      <c r="AM280" s="8">
        <f>2500/2</f>
        <v>1250</v>
      </c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39"/>
      <c r="BM280" s="12"/>
      <c r="BN280" s="12"/>
      <c r="BO280" s="12"/>
      <c r="BP280" s="12"/>
      <c r="BQ280" s="12"/>
      <c r="BR280" s="12"/>
      <c r="BS280" s="12"/>
      <c r="BT280" s="12">
        <v>164</v>
      </c>
      <c r="BU280" s="12">
        <v>100</v>
      </c>
      <c r="BV280" s="12">
        <v>100</v>
      </c>
      <c r="BW280" s="12">
        <v>200</v>
      </c>
      <c r="BX280" s="12">
        <v>200</v>
      </c>
      <c r="BY280" s="12">
        <v>200</v>
      </c>
      <c r="BZ280" s="12">
        <f>400</f>
        <v>400</v>
      </c>
      <c r="CA280" s="31">
        <f>400-45</f>
        <v>355</v>
      </c>
      <c r="CB280" s="31">
        <f>400-135</f>
        <v>265</v>
      </c>
      <c r="CC280" s="31">
        <f>400-165</f>
        <v>235</v>
      </c>
      <c r="CD280" s="31">
        <f>400-255</f>
        <v>145</v>
      </c>
      <c r="CE280" s="12"/>
      <c r="CF280" s="31">
        <f>400</f>
        <v>400</v>
      </c>
      <c r="CG280" s="31">
        <f>400</f>
        <v>400</v>
      </c>
      <c r="CH280" s="31">
        <f>400-75</f>
        <v>325</v>
      </c>
      <c r="CI280" s="31">
        <f>400-165</f>
        <v>235</v>
      </c>
      <c r="CJ280" s="12">
        <f>400-45</f>
        <v>355</v>
      </c>
      <c r="CK280" s="31">
        <v>160</v>
      </c>
      <c r="CL280" s="31"/>
      <c r="CM280" s="31"/>
      <c r="CN280" s="31"/>
      <c r="CO280" s="12"/>
      <c r="CP280" s="92"/>
      <c r="CQ280" s="92"/>
      <c r="CR280" s="92"/>
      <c r="CS280" s="92"/>
      <c r="CT280" s="92"/>
      <c r="CU280" s="92"/>
      <c r="CV280" s="92"/>
      <c r="CW280" s="92"/>
      <c r="CX280" s="180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81">
        <v>200</v>
      </c>
      <c r="DM280" s="181">
        <v>200</v>
      </c>
      <c r="DN280" s="181">
        <v>200</v>
      </c>
      <c r="DO280" s="181">
        <v>200</v>
      </c>
      <c r="DP280" s="181">
        <v>200</v>
      </c>
      <c r="DQ280" s="181">
        <v>200</v>
      </c>
      <c r="DR280" s="12"/>
      <c r="DS280" s="12"/>
      <c r="DT280" s="12"/>
      <c r="DU280" s="12"/>
      <c r="DV280" s="12"/>
      <c r="DW280" s="12"/>
      <c r="DX280" s="55"/>
      <c r="DY280" s="12"/>
      <c r="DZ280" s="12"/>
      <c r="EA280" s="12"/>
      <c r="EB280" s="12"/>
      <c r="EC280" s="12"/>
      <c r="ED280" s="31"/>
      <c r="EE280" s="12"/>
      <c r="EF280" s="12"/>
      <c r="EG280" s="12"/>
      <c r="EH280" s="12"/>
      <c r="EI280" s="12"/>
      <c r="EJ280" s="23"/>
    </row>
    <row r="281" spans="1:140" ht="18" customHeight="1">
      <c r="A281" s="59">
        <v>81</v>
      </c>
      <c r="B281" s="52" t="s">
        <v>1533</v>
      </c>
      <c r="C281" s="51" t="s">
        <v>1675</v>
      </c>
      <c r="D281" s="50">
        <f>1000+300+300</f>
        <v>1600</v>
      </c>
      <c r="E281" s="79" t="s">
        <v>1676</v>
      </c>
      <c r="F281" s="59" t="s">
        <v>1099</v>
      </c>
      <c r="G281" s="138">
        <f>2000*6+2000*6*0.95-2000*2+2500*6*0.95</f>
        <v>33650</v>
      </c>
      <c r="H281" s="52" t="s">
        <v>1572</v>
      </c>
      <c r="I281" s="89">
        <f>200*6+400-200*2+400+400+400*3-45+400*6-120</f>
        <v>5435</v>
      </c>
      <c r="J281" s="52" t="s">
        <v>1677</v>
      </c>
      <c r="K281" s="8">
        <f>200*6+400*2+400*2+400</f>
        <v>3200</v>
      </c>
      <c r="L281" s="8">
        <f t="shared" si="117"/>
        <v>43885</v>
      </c>
      <c r="M281" s="29">
        <f t="shared" si="122"/>
        <v>41085</v>
      </c>
      <c r="N281" s="29">
        <f t="shared" si="118"/>
        <v>2800</v>
      </c>
      <c r="O281" s="8"/>
      <c r="P281" s="12"/>
      <c r="Q281" s="12"/>
      <c r="R281" s="12"/>
      <c r="S281" s="12"/>
      <c r="T281" s="12"/>
      <c r="U281" s="8"/>
      <c r="V281" s="8"/>
      <c r="W281" s="8">
        <v>1000</v>
      </c>
      <c r="X281" s="8">
        <v>1000</v>
      </c>
      <c r="Y281" s="8">
        <v>2000</v>
      </c>
      <c r="Z281" s="8">
        <v>2000</v>
      </c>
      <c r="AA281" s="8">
        <v>2000</v>
      </c>
      <c r="AB281" s="8">
        <v>1900</v>
      </c>
      <c r="AC281" s="8">
        <v>1900</v>
      </c>
      <c r="AD281" s="29">
        <v>1900</v>
      </c>
      <c r="AE281" s="8">
        <v>1900</v>
      </c>
      <c r="AF281" s="8">
        <v>1900</v>
      </c>
      <c r="AG281" s="8">
        <v>1900</v>
      </c>
      <c r="AH281" s="8">
        <f t="shared" ref="AH281:AM281" si="124">2500*0.95</f>
        <v>2375</v>
      </c>
      <c r="AI281" s="8">
        <f t="shared" si="124"/>
        <v>2375</v>
      </c>
      <c r="AJ281" s="8">
        <f t="shared" si="124"/>
        <v>2375</v>
      </c>
      <c r="AK281" s="8">
        <f t="shared" si="124"/>
        <v>2375</v>
      </c>
      <c r="AL281" s="8">
        <f t="shared" si="124"/>
        <v>2375</v>
      </c>
      <c r="AM281" s="8">
        <f t="shared" si="124"/>
        <v>2375</v>
      </c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39"/>
      <c r="BM281" s="12"/>
      <c r="BN281" s="12"/>
      <c r="BO281" s="12"/>
      <c r="BP281" s="12"/>
      <c r="BQ281" s="12"/>
      <c r="BR281" s="12"/>
      <c r="BS281" s="12"/>
      <c r="BT281" s="12"/>
      <c r="BU281" s="12">
        <v>100</v>
      </c>
      <c r="BV281" s="12">
        <v>100</v>
      </c>
      <c r="BW281" s="12">
        <v>200</v>
      </c>
      <c r="BX281" s="12">
        <v>200</v>
      </c>
      <c r="BY281" s="12">
        <v>200</v>
      </c>
      <c r="BZ281" s="12">
        <f>400-45</f>
        <v>355</v>
      </c>
      <c r="CA281" s="31">
        <v>400</v>
      </c>
      <c r="CB281" s="31">
        <v>400</v>
      </c>
      <c r="CC281" s="31">
        <f>400-120</f>
        <v>280</v>
      </c>
      <c r="CD281" s="31">
        <v>400</v>
      </c>
      <c r="CE281" s="31">
        <v>400</v>
      </c>
      <c r="CF281" s="31">
        <v>400</v>
      </c>
      <c r="CG281" s="31">
        <v>400</v>
      </c>
      <c r="CH281" s="31">
        <v>400</v>
      </c>
      <c r="CI281" s="31">
        <v>400</v>
      </c>
      <c r="CJ281" s="31">
        <v>400</v>
      </c>
      <c r="CK281" s="31">
        <v>400</v>
      </c>
      <c r="CL281" s="31"/>
      <c r="CM281" s="31"/>
      <c r="CN281" s="31"/>
      <c r="CO281" s="12"/>
      <c r="CP281" s="92"/>
      <c r="CQ281" s="92"/>
      <c r="CR281" s="92"/>
      <c r="CS281" s="92"/>
      <c r="CT281" s="92"/>
      <c r="CU281" s="92"/>
      <c r="CV281" s="92"/>
      <c r="CW281" s="92"/>
      <c r="CX281" s="180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81">
        <v>200</v>
      </c>
      <c r="DM281" s="181">
        <v>200</v>
      </c>
      <c r="DN281" s="181">
        <v>200</v>
      </c>
      <c r="DO281" s="181">
        <v>200</v>
      </c>
      <c r="DP281" s="181">
        <v>200</v>
      </c>
      <c r="DQ281" s="181">
        <v>200</v>
      </c>
      <c r="DR281" s="12">
        <v>400</v>
      </c>
      <c r="DS281" s="12">
        <v>400</v>
      </c>
      <c r="DT281" s="12">
        <v>400</v>
      </c>
      <c r="DU281" s="12">
        <v>400</v>
      </c>
      <c r="DV281" s="12">
        <v>400</v>
      </c>
      <c r="DW281" s="12"/>
      <c r="DX281" s="55"/>
      <c r="DY281" s="12"/>
      <c r="DZ281" s="12"/>
      <c r="EA281" s="12"/>
      <c r="EB281" s="12"/>
      <c r="EC281" s="12"/>
      <c r="ED281" s="31"/>
      <c r="EE281" s="12"/>
      <c r="EF281" s="12"/>
      <c r="EG281" s="12"/>
      <c r="EH281" s="12"/>
      <c r="EI281" s="12"/>
      <c r="EJ281" s="23"/>
    </row>
    <row r="282" spans="1:140" ht="18" customHeight="1">
      <c r="A282" s="59">
        <v>82</v>
      </c>
      <c r="B282" s="52" t="s">
        <v>1533</v>
      </c>
      <c r="C282" s="51" t="s">
        <v>1678</v>
      </c>
      <c r="D282" s="50">
        <f>1000+300+300</f>
        <v>1600</v>
      </c>
      <c r="E282" s="79" t="s">
        <v>1676</v>
      </c>
      <c r="F282" s="59" t="s">
        <v>1099</v>
      </c>
      <c r="G282" s="138">
        <f>2000*6+2000*6-4000+2500*6</f>
        <v>35000</v>
      </c>
      <c r="H282" s="52" t="s">
        <v>1572</v>
      </c>
      <c r="I282" s="89">
        <f>400+400+400+400*3-45+400*6-75</f>
        <v>4680</v>
      </c>
      <c r="J282" s="52" t="s">
        <v>1677</v>
      </c>
      <c r="K282" s="8">
        <f>200*6+400*2+400*2+400</f>
        <v>3200</v>
      </c>
      <c r="L282" s="8">
        <f t="shared" si="117"/>
        <v>44480</v>
      </c>
      <c r="M282" s="29">
        <f t="shared" si="122"/>
        <v>41680</v>
      </c>
      <c r="N282" s="29">
        <f t="shared" si="118"/>
        <v>2800</v>
      </c>
      <c r="O282" s="8"/>
      <c r="P282" s="12"/>
      <c r="Q282" s="12"/>
      <c r="R282" s="12"/>
      <c r="S282" s="12"/>
      <c r="T282" s="12"/>
      <c r="U282" s="8"/>
      <c r="V282" s="8"/>
      <c r="W282" s="8">
        <v>1000</v>
      </c>
      <c r="X282" s="8">
        <v>1000</v>
      </c>
      <c r="Y282" s="8">
        <v>2000</v>
      </c>
      <c r="Z282" s="8">
        <v>2000</v>
      </c>
      <c r="AA282" s="8">
        <v>2000</v>
      </c>
      <c r="AB282" s="8">
        <v>2000</v>
      </c>
      <c r="AC282" s="8">
        <v>2000</v>
      </c>
      <c r="AD282" s="29">
        <v>2000</v>
      </c>
      <c r="AE282" s="8">
        <v>2000</v>
      </c>
      <c r="AF282" s="8">
        <v>2000</v>
      </c>
      <c r="AG282" s="8">
        <v>2000</v>
      </c>
      <c r="AH282" s="8">
        <v>2500</v>
      </c>
      <c r="AI282" s="8">
        <v>2500</v>
      </c>
      <c r="AJ282" s="8">
        <v>2500</v>
      </c>
      <c r="AK282" s="8">
        <v>2500</v>
      </c>
      <c r="AL282" s="8">
        <v>2500</v>
      </c>
      <c r="AM282" s="8">
        <v>2500</v>
      </c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39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>
        <v>400</v>
      </c>
      <c r="CA282" s="31">
        <f>400-45</f>
        <v>355</v>
      </c>
      <c r="CB282" s="31">
        <v>400</v>
      </c>
      <c r="CC282" s="31">
        <f>400-75</f>
        <v>325</v>
      </c>
      <c r="CD282" s="31">
        <v>400</v>
      </c>
      <c r="CE282" s="31">
        <v>400</v>
      </c>
      <c r="CF282" s="31">
        <v>400</v>
      </c>
      <c r="CG282" s="31">
        <v>400</v>
      </c>
      <c r="CH282" s="31">
        <v>400</v>
      </c>
      <c r="CI282" s="31">
        <v>400</v>
      </c>
      <c r="CJ282" s="31">
        <v>400</v>
      </c>
      <c r="CK282" s="31">
        <v>400</v>
      </c>
      <c r="CL282" s="31"/>
      <c r="CM282" s="31"/>
      <c r="CN282" s="31"/>
      <c r="CO282" s="12"/>
      <c r="CP282" s="92"/>
      <c r="CQ282" s="92"/>
      <c r="CR282" s="92"/>
      <c r="CS282" s="92"/>
      <c r="CT282" s="92"/>
      <c r="CU282" s="92"/>
      <c r="CV282" s="92"/>
      <c r="CW282" s="92"/>
      <c r="CX282" s="180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81">
        <v>200</v>
      </c>
      <c r="DM282" s="181">
        <v>200</v>
      </c>
      <c r="DN282" s="181">
        <v>200</v>
      </c>
      <c r="DO282" s="181">
        <v>200</v>
      </c>
      <c r="DP282" s="181">
        <v>200</v>
      </c>
      <c r="DQ282" s="181">
        <v>200</v>
      </c>
      <c r="DR282" s="12">
        <v>400</v>
      </c>
      <c r="DS282" s="12">
        <v>400</v>
      </c>
      <c r="DT282" s="12">
        <v>400</v>
      </c>
      <c r="DU282" s="12">
        <v>400</v>
      </c>
      <c r="DV282" s="12">
        <v>400</v>
      </c>
      <c r="DW282" s="12"/>
      <c r="DX282" s="55"/>
      <c r="DY282" s="12"/>
      <c r="DZ282" s="12"/>
      <c r="EA282" s="12"/>
      <c r="EB282" s="12"/>
      <c r="EC282" s="12"/>
      <c r="ED282" s="31"/>
      <c r="EE282" s="12"/>
      <c r="EF282" s="12"/>
      <c r="EG282" s="12"/>
      <c r="EH282" s="12"/>
      <c r="EI282" s="12"/>
      <c r="EJ282" s="23"/>
    </row>
    <row r="283" spans="1:140" s="28" customFormat="1" ht="22.5" customHeight="1">
      <c r="A283" s="59">
        <v>83</v>
      </c>
      <c r="B283" s="52" t="s">
        <v>1533</v>
      </c>
      <c r="C283" s="52" t="s">
        <v>1679</v>
      </c>
      <c r="D283" s="50">
        <f>1200+300+300</f>
        <v>1800</v>
      </c>
      <c r="E283" s="52" t="s">
        <v>1680</v>
      </c>
      <c r="F283" s="52" t="s">
        <v>1635</v>
      </c>
      <c r="G283" s="141">
        <f>2500*7+2500*6-2000</f>
        <v>30500</v>
      </c>
      <c r="H283" s="52" t="s">
        <v>1635</v>
      </c>
      <c r="I283" s="89">
        <f>400*7+400-75+400*5-400-60</f>
        <v>4665</v>
      </c>
      <c r="J283" s="52" t="s">
        <v>1681</v>
      </c>
      <c r="K283" s="30">
        <f>200*7-200</f>
        <v>1200</v>
      </c>
      <c r="L283" s="30">
        <f t="shared" si="117"/>
        <v>38165</v>
      </c>
      <c r="M283" s="29">
        <f t="shared" si="122"/>
        <v>36365</v>
      </c>
      <c r="N283" s="29">
        <f t="shared" si="118"/>
        <v>1800</v>
      </c>
      <c r="AA283" s="31">
        <v>2500</v>
      </c>
      <c r="AB283" s="31">
        <v>2500</v>
      </c>
      <c r="AC283" s="31">
        <v>2500</v>
      </c>
      <c r="AD283" s="31">
        <v>2500</v>
      </c>
      <c r="AE283" s="31">
        <v>2500</v>
      </c>
      <c r="AF283" s="31">
        <v>2500</v>
      </c>
      <c r="AG283" s="31">
        <f>2500-2000</f>
        <v>500</v>
      </c>
      <c r="AH283" s="31">
        <v>2500</v>
      </c>
      <c r="AI283" s="31">
        <v>2500</v>
      </c>
      <c r="AJ283" s="31">
        <v>2500</v>
      </c>
      <c r="AK283" s="31">
        <v>2500</v>
      </c>
      <c r="AL283" s="31">
        <v>2500</v>
      </c>
      <c r="AM283" s="31">
        <v>2500</v>
      </c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40"/>
      <c r="BY283" s="12">
        <v>400</v>
      </c>
      <c r="BZ283" s="12">
        <v>400</v>
      </c>
      <c r="CA283" s="12">
        <v>400</v>
      </c>
      <c r="CB283" s="12">
        <v>400</v>
      </c>
      <c r="CC283" s="12">
        <v>400</v>
      </c>
      <c r="CD283" s="12">
        <f>400-75</f>
        <v>325</v>
      </c>
      <c r="CE283" s="12">
        <f>400-400</f>
        <v>0</v>
      </c>
      <c r="CF283" s="12">
        <v>400</v>
      </c>
      <c r="CG283" s="12">
        <v>400</v>
      </c>
      <c r="CH283" s="12">
        <v>400</v>
      </c>
      <c r="CI283" s="12">
        <v>400</v>
      </c>
      <c r="CJ283" s="12">
        <f>400-60</f>
        <v>340</v>
      </c>
      <c r="CK283" s="31">
        <v>400</v>
      </c>
      <c r="CL283" s="31"/>
      <c r="CM283" s="31"/>
      <c r="CN283" s="31"/>
      <c r="CO283" s="12"/>
      <c r="CP283" s="12"/>
      <c r="CQ283" s="12"/>
      <c r="CR283" s="12"/>
      <c r="CS283" s="12"/>
      <c r="CT283" s="12"/>
      <c r="CU283" s="12"/>
      <c r="CV283" s="12"/>
      <c r="CW283" s="12"/>
      <c r="CX283" s="40"/>
      <c r="DK283" s="12">
        <v>200</v>
      </c>
      <c r="DL283" s="12">
        <v>200</v>
      </c>
      <c r="DM283" s="12">
        <v>200</v>
      </c>
      <c r="DN283" s="12">
        <v>200</v>
      </c>
      <c r="DO283" s="12">
        <v>200</v>
      </c>
      <c r="DP283" s="12">
        <v>200</v>
      </c>
      <c r="DQ283" s="12">
        <f>200-200</f>
        <v>0</v>
      </c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31"/>
      <c r="EE283" s="12"/>
      <c r="EF283" s="12"/>
      <c r="EG283" s="12"/>
      <c r="EH283" s="12"/>
      <c r="EI283" s="12"/>
    </row>
    <row r="284" spans="1:140" s="28" customFormat="1" ht="22.5" customHeight="1">
      <c r="A284" s="59">
        <v>84</v>
      </c>
      <c r="B284" s="52" t="s">
        <v>1533</v>
      </c>
      <c r="C284" s="52" t="s">
        <v>1682</v>
      </c>
      <c r="D284" s="50">
        <f>1200+300+300</f>
        <v>1800</v>
      </c>
      <c r="E284" s="52" t="s">
        <v>1683</v>
      </c>
      <c r="F284" s="52" t="s">
        <v>1572</v>
      </c>
      <c r="G284" s="141">
        <f>2375*6+2375*6-1875-1875-1187.5</f>
        <v>23562.5</v>
      </c>
      <c r="H284" s="52" t="s">
        <v>1572</v>
      </c>
      <c r="I284" s="89">
        <f>400*6+400-105-400+400*5-400-45-60-225</f>
        <v>3565</v>
      </c>
      <c r="J284" s="52" t="s">
        <v>1572</v>
      </c>
      <c r="K284" s="30">
        <f>200*6-200+400*6-200</f>
        <v>3200</v>
      </c>
      <c r="L284" s="30">
        <f t="shared" si="117"/>
        <v>32127.5</v>
      </c>
      <c r="M284" s="29">
        <f>SUM(O284:DW284)</f>
        <v>30552.5</v>
      </c>
      <c r="N284" s="29">
        <f t="shared" si="118"/>
        <v>1575</v>
      </c>
      <c r="AA284" s="31"/>
      <c r="AB284" s="31">
        <v>2375</v>
      </c>
      <c r="AC284" s="31">
        <v>2375</v>
      </c>
      <c r="AD284" s="31">
        <v>2375</v>
      </c>
      <c r="AE284" s="31">
        <v>2375</v>
      </c>
      <c r="AF284" s="31">
        <f>2375-1875</f>
        <v>500</v>
      </c>
      <c r="AG284" s="31">
        <f>2375-1875</f>
        <v>500</v>
      </c>
      <c r="AH284" s="31">
        <v>2375</v>
      </c>
      <c r="AI284" s="31">
        <v>2375</v>
      </c>
      <c r="AJ284" s="31">
        <v>2375</v>
      </c>
      <c r="AK284" s="31">
        <v>2375</v>
      </c>
      <c r="AL284" s="31">
        <v>2375</v>
      </c>
      <c r="AM284" s="31">
        <f>2375/2</f>
        <v>1187.5</v>
      </c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40"/>
      <c r="BY284" s="12"/>
      <c r="BZ284" s="12">
        <v>400</v>
      </c>
      <c r="CA284" s="12">
        <v>400</v>
      </c>
      <c r="CB284" s="12">
        <v>400</v>
      </c>
      <c r="CC284" s="12">
        <f>400-105</f>
        <v>295</v>
      </c>
      <c r="CD284" s="12">
        <f>400-400</f>
        <v>0</v>
      </c>
      <c r="CE284" s="12">
        <f>400-400</f>
        <v>0</v>
      </c>
      <c r="CF284" s="12">
        <v>400</v>
      </c>
      <c r="CG284" s="12">
        <f>400-60</f>
        <v>340</v>
      </c>
      <c r="CH284" s="12">
        <v>400</v>
      </c>
      <c r="CI284" s="12">
        <v>400</v>
      </c>
      <c r="CJ284" s="12">
        <f>400-45</f>
        <v>355</v>
      </c>
      <c r="CK284" s="31">
        <v>400</v>
      </c>
      <c r="CL284" s="31"/>
      <c r="CM284" s="31"/>
      <c r="CN284" s="31"/>
      <c r="CO284" s="12"/>
      <c r="CP284" s="12"/>
      <c r="CQ284" s="12"/>
      <c r="CR284" s="12"/>
      <c r="CS284" s="12"/>
      <c r="CT284" s="12"/>
      <c r="CU284" s="12"/>
      <c r="CV284" s="12"/>
      <c r="CW284" s="12"/>
      <c r="CX284" s="40"/>
      <c r="DK284" s="12"/>
      <c r="DL284" s="12">
        <v>200</v>
      </c>
      <c r="DM284" s="12">
        <v>200</v>
      </c>
      <c r="DN284" s="12">
        <v>200</v>
      </c>
      <c r="DO284" s="12">
        <v>200</v>
      </c>
      <c r="DP284" s="12">
        <f>200-200</f>
        <v>0</v>
      </c>
      <c r="DQ284" s="12">
        <f>200-200</f>
        <v>0</v>
      </c>
      <c r="DR284" s="12">
        <v>400</v>
      </c>
      <c r="DS284" s="12">
        <v>400</v>
      </c>
      <c r="DT284" s="12">
        <v>400</v>
      </c>
      <c r="DU284" s="12">
        <v>400</v>
      </c>
      <c r="DV284" s="12">
        <v>400</v>
      </c>
      <c r="DW284" s="12">
        <v>400</v>
      </c>
      <c r="DX284" s="12"/>
      <c r="DY284" s="12"/>
      <c r="DZ284" s="12"/>
      <c r="EA284" s="12"/>
      <c r="EB284" s="12"/>
      <c r="EC284" s="12"/>
      <c r="ED284" s="31"/>
      <c r="EE284" s="12"/>
      <c r="EF284" s="12"/>
      <c r="EG284" s="12"/>
      <c r="EH284" s="12"/>
      <c r="EI284" s="12"/>
    </row>
    <row r="285" spans="1:140" s="34" customFormat="1" ht="22.5" customHeight="1">
      <c r="A285" s="59">
        <v>85</v>
      </c>
      <c r="B285" s="52" t="s">
        <v>64</v>
      </c>
      <c r="C285" s="51" t="s">
        <v>28</v>
      </c>
      <c r="D285" s="50">
        <f>1200+300</f>
        <v>1500</v>
      </c>
      <c r="E285" s="52" t="s">
        <v>598</v>
      </c>
      <c r="F285" s="52" t="s">
        <v>564</v>
      </c>
      <c r="G285" s="141">
        <f>2500*7</f>
        <v>17500</v>
      </c>
      <c r="H285" s="80" t="s">
        <v>599</v>
      </c>
      <c r="I285" s="89">
        <f>400+400*2+400-45+400-45+400-75</f>
        <v>2235</v>
      </c>
      <c r="J285" s="52" t="s">
        <v>582</v>
      </c>
      <c r="K285" s="30">
        <v>200</v>
      </c>
      <c r="L285" s="30">
        <f t="shared" si="117"/>
        <v>21435</v>
      </c>
      <c r="M285" s="29">
        <f>SUM(O285:DX285)</f>
        <v>19980</v>
      </c>
      <c r="N285" s="29">
        <f t="shared" si="118"/>
        <v>1455</v>
      </c>
      <c r="AA285" s="31">
        <v>2500</v>
      </c>
      <c r="AB285" s="31">
        <v>2500</v>
      </c>
      <c r="AC285" s="31">
        <v>2500</v>
      </c>
      <c r="AD285" s="31">
        <v>2500</v>
      </c>
      <c r="AE285" s="31">
        <v>2500</v>
      </c>
      <c r="AF285" s="31">
        <v>2500</v>
      </c>
      <c r="AG285" s="31">
        <v>2500</v>
      </c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6"/>
      <c r="BY285" s="12">
        <f>400-45</f>
        <v>355</v>
      </c>
      <c r="BZ285" s="12">
        <v>400</v>
      </c>
      <c r="CA285" s="12">
        <v>400</v>
      </c>
      <c r="CB285" s="12">
        <f>400-75</f>
        <v>325</v>
      </c>
      <c r="CC285" s="12">
        <v>400</v>
      </c>
      <c r="CD285" s="12">
        <v>400</v>
      </c>
      <c r="CE285" s="12"/>
      <c r="CF285" s="12"/>
      <c r="CG285" s="12"/>
      <c r="CH285" s="12"/>
      <c r="CI285" s="12"/>
      <c r="CJ285" s="12"/>
      <c r="CK285" s="31"/>
      <c r="CL285" s="31"/>
      <c r="CM285" s="31"/>
      <c r="CN285" s="31"/>
      <c r="CO285" s="12"/>
      <c r="CP285" s="12"/>
      <c r="CQ285" s="12"/>
      <c r="CR285" s="12"/>
      <c r="CS285" s="12"/>
      <c r="CT285" s="12"/>
      <c r="CU285" s="12"/>
      <c r="CV285" s="12"/>
      <c r="CW285" s="12"/>
      <c r="CX285" s="36"/>
      <c r="DK285" s="12">
        <v>200</v>
      </c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31"/>
      <c r="EE285" s="12"/>
      <c r="EF285" s="12"/>
      <c r="EG285" s="12"/>
      <c r="EH285" s="12"/>
      <c r="EI285" s="12"/>
    </row>
    <row r="286" spans="1:140" ht="18" customHeight="1">
      <c r="A286" s="59">
        <v>86</v>
      </c>
      <c r="B286" s="52" t="s">
        <v>64</v>
      </c>
      <c r="C286" s="51" t="s">
        <v>489</v>
      </c>
      <c r="D286" s="50">
        <f>1000+300+300</f>
        <v>1600</v>
      </c>
      <c r="E286" s="79" t="s">
        <v>91</v>
      </c>
      <c r="F286" s="59" t="s">
        <v>92</v>
      </c>
      <c r="G286" s="138">
        <f>35154-3000*7+3000*6-1500+3500*6-1100</f>
        <v>50554</v>
      </c>
      <c r="H286" s="52" t="s">
        <v>92</v>
      </c>
      <c r="I286" s="89">
        <f>2336-200*7+400*6-100+400*6-75</f>
        <v>5561</v>
      </c>
      <c r="J286" s="52" t="s">
        <v>547</v>
      </c>
      <c r="K286" s="8">
        <f>200*6+400*6</f>
        <v>3600</v>
      </c>
      <c r="L286" s="8">
        <f t="shared" si="117"/>
        <v>61315</v>
      </c>
      <c r="M286" s="29">
        <f>SUM(O286:DS286)</f>
        <v>59215</v>
      </c>
      <c r="N286" s="29">
        <f t="shared" si="118"/>
        <v>2100</v>
      </c>
      <c r="O286" s="8"/>
      <c r="P286" s="12"/>
      <c r="Q286" s="12"/>
      <c r="R286" s="12"/>
      <c r="S286" s="12"/>
      <c r="T286" s="12"/>
      <c r="U286" s="8"/>
      <c r="V286" s="8">
        <v>2154</v>
      </c>
      <c r="W286" s="8">
        <v>1500</v>
      </c>
      <c r="X286" s="8">
        <v>1500</v>
      </c>
      <c r="Y286" s="8">
        <f>3000-1500</f>
        <v>1500</v>
      </c>
      <c r="Z286" s="8">
        <v>3000</v>
      </c>
      <c r="AA286" s="8">
        <v>3000</v>
      </c>
      <c r="AB286" s="8">
        <v>3000</v>
      </c>
      <c r="AC286" s="8">
        <v>3000</v>
      </c>
      <c r="AD286" s="29">
        <v>3000</v>
      </c>
      <c r="AE286" s="8">
        <v>3000</v>
      </c>
      <c r="AF286" s="8">
        <v>3000</v>
      </c>
      <c r="AG286" s="8">
        <v>3000</v>
      </c>
      <c r="AH286" s="8">
        <v>3500</v>
      </c>
      <c r="AI286" s="8">
        <v>3500</v>
      </c>
      <c r="AJ286" s="8">
        <v>3500</v>
      </c>
      <c r="AK286" s="8">
        <v>3500</v>
      </c>
      <c r="AL286" s="8">
        <v>3500</v>
      </c>
      <c r="AM286" s="8">
        <v>3500</v>
      </c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39"/>
      <c r="BM286" s="12"/>
      <c r="BN286" s="12"/>
      <c r="BO286" s="12"/>
      <c r="BP286" s="12"/>
      <c r="BQ286" s="12"/>
      <c r="BR286" s="12"/>
      <c r="BS286" s="12"/>
      <c r="BT286" s="12">
        <v>136</v>
      </c>
      <c r="BU286" s="12">
        <v>100</v>
      </c>
      <c r="BV286" s="12">
        <v>100</v>
      </c>
      <c r="BW286" s="12">
        <f>200-100</f>
        <v>100</v>
      </c>
      <c r="BX286" s="12">
        <v>200</v>
      </c>
      <c r="BY286" s="12">
        <v>200</v>
      </c>
      <c r="BZ286" s="12">
        <v>400</v>
      </c>
      <c r="CA286" s="31">
        <v>400</v>
      </c>
      <c r="CB286" s="31">
        <v>400</v>
      </c>
      <c r="CC286" s="31">
        <f>400-75</f>
        <v>325</v>
      </c>
      <c r="CD286" s="12">
        <v>400</v>
      </c>
      <c r="CE286" s="12">
        <v>400</v>
      </c>
      <c r="CF286" s="12">
        <v>400</v>
      </c>
      <c r="CG286" s="12">
        <v>400</v>
      </c>
      <c r="CH286" s="12">
        <v>400</v>
      </c>
      <c r="CI286" s="12">
        <v>400</v>
      </c>
      <c r="CJ286" s="12">
        <v>400</v>
      </c>
      <c r="CK286" s="31">
        <v>400</v>
      </c>
      <c r="CL286" s="31"/>
      <c r="CM286" s="31"/>
      <c r="CN286" s="31"/>
      <c r="CO286" s="12"/>
      <c r="CP286" s="92"/>
      <c r="CQ286" s="92"/>
      <c r="CR286" s="92"/>
      <c r="CS286" s="92"/>
      <c r="CT286" s="92"/>
      <c r="CU286" s="92"/>
      <c r="CV286" s="92"/>
      <c r="CW286" s="92"/>
      <c r="CX286" s="180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81">
        <v>200</v>
      </c>
      <c r="DM286" s="181">
        <v>200</v>
      </c>
      <c r="DN286" s="181">
        <v>200</v>
      </c>
      <c r="DO286" s="181">
        <v>200</v>
      </c>
      <c r="DP286" s="181">
        <v>200</v>
      </c>
      <c r="DQ286" s="181">
        <v>200</v>
      </c>
      <c r="DR286" s="12">
        <v>400</v>
      </c>
      <c r="DS286" s="12">
        <v>400</v>
      </c>
      <c r="DT286" s="12">
        <v>400</v>
      </c>
      <c r="DU286" s="12">
        <v>400</v>
      </c>
      <c r="DV286" s="12">
        <v>400</v>
      </c>
      <c r="DW286" s="12">
        <v>400</v>
      </c>
      <c r="DX286" s="55"/>
      <c r="DY286" s="12"/>
      <c r="DZ286" s="12"/>
      <c r="EA286" s="12"/>
      <c r="EB286" s="12"/>
      <c r="EC286" s="12"/>
      <c r="ED286" s="31"/>
      <c r="EE286" s="12"/>
      <c r="EF286" s="12"/>
      <c r="EG286" s="12"/>
      <c r="EH286" s="12"/>
      <c r="EI286" s="12"/>
      <c r="EJ286" s="23"/>
    </row>
    <row r="287" spans="1:140" ht="18" customHeight="1">
      <c r="A287" s="59">
        <v>87</v>
      </c>
      <c r="B287" s="52" t="s">
        <v>64</v>
      </c>
      <c r="C287" s="51" t="s">
        <v>490</v>
      </c>
      <c r="D287" s="50">
        <f>1000+300+200+300+600-600-115</f>
        <v>1685</v>
      </c>
      <c r="E287" s="79" t="s">
        <v>318</v>
      </c>
      <c r="F287" s="59" t="s">
        <v>432</v>
      </c>
      <c r="G287" s="138">
        <f>3000*12-3000*8+3000*6-1500+3500*6-1500-2500+3500*6-3000-1750-3500*5</f>
        <v>44250</v>
      </c>
      <c r="H287" s="52" t="s">
        <v>434</v>
      </c>
      <c r="I287" s="89">
        <f>400*6+400*6-225-105-400+400*6-400-229-400*5</f>
        <v>3841</v>
      </c>
      <c r="J287" s="52"/>
      <c r="K287" s="8"/>
      <c r="L287" s="8">
        <f t="shared" si="117"/>
        <v>49776</v>
      </c>
      <c r="M287" s="29">
        <f>SUM(O287:DS287)</f>
        <v>48091</v>
      </c>
      <c r="N287" s="29">
        <f t="shared" si="118"/>
        <v>1685</v>
      </c>
      <c r="O287" s="8"/>
      <c r="P287" s="12"/>
      <c r="Q287" s="12"/>
      <c r="R287" s="12"/>
      <c r="S287" s="12"/>
      <c r="T287" s="12"/>
      <c r="U287" s="8"/>
      <c r="V287" s="8"/>
      <c r="W287" s="8">
        <v>1500</v>
      </c>
      <c r="X287" s="8">
        <v>1500</v>
      </c>
      <c r="Y287" s="8">
        <f>3000-1500</f>
        <v>1500</v>
      </c>
      <c r="Z287" s="8">
        <v>3000</v>
      </c>
      <c r="AA287" s="8">
        <v>3000</v>
      </c>
      <c r="AB287" s="8">
        <v>3000</v>
      </c>
      <c r="AC287" s="8">
        <v>3000</v>
      </c>
      <c r="AD287" s="29">
        <v>3000</v>
      </c>
      <c r="AE287" s="8">
        <f>3000/2</f>
        <v>1500</v>
      </c>
      <c r="AF287" s="8">
        <v>3000</v>
      </c>
      <c r="AG287" s="8">
        <f>3000-2500</f>
        <v>500</v>
      </c>
      <c r="AH287" s="8">
        <v>3500</v>
      </c>
      <c r="AI287" s="8">
        <v>3500</v>
      </c>
      <c r="AJ287" s="8">
        <v>3500</v>
      </c>
      <c r="AK287" s="8">
        <f>3500-3000</f>
        <v>500</v>
      </c>
      <c r="AL287" s="8">
        <v>3500</v>
      </c>
      <c r="AM287" s="8">
        <v>3500</v>
      </c>
      <c r="AN287" s="31">
        <f>3500/2</f>
        <v>1750</v>
      </c>
      <c r="AO287" s="31">
        <f t="shared" ref="AO287:AS288" si="125">3500-3500</f>
        <v>0</v>
      </c>
      <c r="AP287" s="31">
        <f t="shared" si="125"/>
        <v>0</v>
      </c>
      <c r="AQ287" s="31">
        <f t="shared" si="125"/>
        <v>0</v>
      </c>
      <c r="AR287" s="31">
        <f t="shared" si="125"/>
        <v>0</v>
      </c>
      <c r="AS287" s="31">
        <f t="shared" si="125"/>
        <v>0</v>
      </c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39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>
        <v>400</v>
      </c>
      <c r="CA287" s="31">
        <v>400</v>
      </c>
      <c r="CB287" s="31">
        <v>400</v>
      </c>
      <c r="CC287" s="31">
        <f>400-225</f>
        <v>175</v>
      </c>
      <c r="CD287" s="12">
        <f>400-105</f>
        <v>295</v>
      </c>
      <c r="CE287" s="12">
        <f>400-400</f>
        <v>0</v>
      </c>
      <c r="CF287" s="12">
        <v>400</v>
      </c>
      <c r="CG287" s="12">
        <v>400</v>
      </c>
      <c r="CH287" s="12">
        <v>400</v>
      </c>
      <c r="CI287" s="12">
        <f>400-400</f>
        <v>0</v>
      </c>
      <c r="CJ287" s="12">
        <v>400</v>
      </c>
      <c r="CK287" s="31">
        <v>400</v>
      </c>
      <c r="CL287" s="31">
        <f>400-229</f>
        <v>171</v>
      </c>
      <c r="CM287" s="31">
        <f t="shared" ref="CM287:CQ288" si="126">400-400</f>
        <v>0</v>
      </c>
      <c r="CN287" s="31">
        <f t="shared" si="126"/>
        <v>0</v>
      </c>
      <c r="CO287" s="31">
        <f t="shared" si="126"/>
        <v>0</v>
      </c>
      <c r="CP287" s="31">
        <f t="shared" si="126"/>
        <v>0</v>
      </c>
      <c r="CQ287" s="31">
        <f t="shared" si="126"/>
        <v>0</v>
      </c>
      <c r="CR287" s="31"/>
      <c r="CS287" s="31"/>
      <c r="CT287" s="31"/>
      <c r="CU287" s="31"/>
      <c r="CV287" s="31"/>
      <c r="CW287" s="31"/>
      <c r="CX287" s="180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81"/>
      <c r="DM287" s="181"/>
      <c r="DN287" s="181"/>
      <c r="DO287" s="181"/>
      <c r="DP287" s="181"/>
      <c r="DQ287" s="181"/>
      <c r="DR287" s="12"/>
      <c r="DS287" s="12"/>
      <c r="DT287" s="12"/>
      <c r="DU287" s="12"/>
      <c r="DV287" s="12"/>
      <c r="DW287" s="12"/>
      <c r="DX287" s="55"/>
      <c r="DY287" s="12"/>
      <c r="DZ287" s="12"/>
      <c r="EA287" s="12"/>
      <c r="EB287" s="12"/>
      <c r="EC287" s="12"/>
      <c r="ED287" s="31"/>
      <c r="EE287" s="12"/>
      <c r="EF287" s="12"/>
      <c r="EG287" s="12"/>
      <c r="EH287" s="12"/>
      <c r="EI287" s="12"/>
      <c r="EJ287" s="23"/>
    </row>
    <row r="288" spans="1:140" s="28" customFormat="1" ht="18" customHeight="1">
      <c r="A288" s="59">
        <v>88</v>
      </c>
      <c r="B288" s="52" t="s">
        <v>64</v>
      </c>
      <c r="C288" s="52" t="s">
        <v>38</v>
      </c>
      <c r="D288" s="50">
        <f>1500+300+600-600-115</f>
        <v>1685</v>
      </c>
      <c r="E288" s="52" t="s">
        <v>291</v>
      </c>
      <c r="F288" s="52" t="s">
        <v>430</v>
      </c>
      <c r="G288" s="140">
        <f>3500*7+1750+3500*6-3000+3500*6-1750-3500*5</f>
        <v>46000</v>
      </c>
      <c r="H288" s="52" t="s">
        <v>430</v>
      </c>
      <c r="I288" s="89">
        <f>400+200+400*2+400*4+400*6-60-400+400*6-90-90-400*5-190</f>
        <v>4970</v>
      </c>
      <c r="J288" s="52" t="s">
        <v>431</v>
      </c>
      <c r="K288" s="30">
        <f>200*7+400*6-200+400*6-400*5-190</f>
        <v>3810</v>
      </c>
      <c r="L288" s="30">
        <f t="shared" si="117"/>
        <v>56465</v>
      </c>
      <c r="M288" s="29">
        <f>SUM(O288:EC288)</f>
        <v>54780</v>
      </c>
      <c r="N288" s="29">
        <f t="shared" si="118"/>
        <v>1685</v>
      </c>
      <c r="Z288" s="31">
        <f>3500/2</f>
        <v>1750</v>
      </c>
      <c r="AA288" s="31">
        <v>3500</v>
      </c>
      <c r="AB288" s="31">
        <v>3500</v>
      </c>
      <c r="AC288" s="31">
        <v>3500</v>
      </c>
      <c r="AD288" s="31">
        <v>3500</v>
      </c>
      <c r="AE288" s="31">
        <v>3500</v>
      </c>
      <c r="AF288" s="31">
        <v>3500</v>
      </c>
      <c r="AG288" s="31">
        <f>3500-3000</f>
        <v>500</v>
      </c>
      <c r="AH288" s="31">
        <v>3500</v>
      </c>
      <c r="AI288" s="31">
        <v>3500</v>
      </c>
      <c r="AJ288" s="31">
        <v>3500</v>
      </c>
      <c r="AK288" s="31">
        <v>3500</v>
      </c>
      <c r="AL288" s="31">
        <v>3500</v>
      </c>
      <c r="AM288" s="31">
        <v>3500</v>
      </c>
      <c r="AN288" s="31">
        <f>3500/2</f>
        <v>1750</v>
      </c>
      <c r="AO288" s="31">
        <f t="shared" si="125"/>
        <v>0</v>
      </c>
      <c r="AP288" s="31">
        <f t="shared" si="125"/>
        <v>0</v>
      </c>
      <c r="AQ288" s="31">
        <f t="shared" si="125"/>
        <v>0</v>
      </c>
      <c r="AR288" s="31">
        <f t="shared" si="125"/>
        <v>0</v>
      </c>
      <c r="AS288" s="31">
        <f t="shared" si="125"/>
        <v>0</v>
      </c>
      <c r="BL288" s="40"/>
      <c r="BX288" s="12">
        <v>200</v>
      </c>
      <c r="BY288" s="12">
        <v>400</v>
      </c>
      <c r="BZ288" s="12">
        <v>400</v>
      </c>
      <c r="CA288" s="12">
        <v>400</v>
      </c>
      <c r="CB288" s="12">
        <v>400</v>
      </c>
      <c r="CC288" s="12">
        <f>400-60</f>
        <v>340</v>
      </c>
      <c r="CD288" s="12">
        <v>400</v>
      </c>
      <c r="CE288" s="12">
        <f>400-400</f>
        <v>0</v>
      </c>
      <c r="CF288" s="12">
        <v>400</v>
      </c>
      <c r="CG288" s="12">
        <f>400-90</f>
        <v>310</v>
      </c>
      <c r="CH288" s="12">
        <v>400</v>
      </c>
      <c r="CI288" s="12">
        <f>400-90</f>
        <v>310</v>
      </c>
      <c r="CJ288" s="12">
        <v>400</v>
      </c>
      <c r="CK288" s="31">
        <v>400</v>
      </c>
      <c r="CL288" s="31">
        <f>400-190</f>
        <v>210</v>
      </c>
      <c r="CM288" s="31">
        <f t="shared" si="126"/>
        <v>0</v>
      </c>
      <c r="CN288" s="31">
        <f t="shared" si="126"/>
        <v>0</v>
      </c>
      <c r="CO288" s="31">
        <f t="shared" si="126"/>
        <v>0</v>
      </c>
      <c r="CP288" s="31">
        <f t="shared" si="126"/>
        <v>0</v>
      </c>
      <c r="CQ288" s="31">
        <f t="shared" si="126"/>
        <v>0</v>
      </c>
      <c r="CR288" s="31"/>
      <c r="CS288" s="31"/>
      <c r="CT288" s="31"/>
      <c r="CU288" s="31"/>
      <c r="CV288" s="31"/>
      <c r="CW288" s="31"/>
      <c r="CX288" s="40"/>
      <c r="DK288" s="12">
        <v>200</v>
      </c>
      <c r="DL288" s="12">
        <v>200</v>
      </c>
      <c r="DM288" s="12">
        <v>200</v>
      </c>
      <c r="DN288" s="12">
        <v>200</v>
      </c>
      <c r="DO288" s="12">
        <v>200</v>
      </c>
      <c r="DP288" s="12">
        <v>200</v>
      </c>
      <c r="DQ288" s="12">
        <f>200-200</f>
        <v>0</v>
      </c>
      <c r="DR288" s="12">
        <v>400</v>
      </c>
      <c r="DS288" s="12">
        <v>400</v>
      </c>
      <c r="DT288" s="12">
        <v>400</v>
      </c>
      <c r="DU288" s="12">
        <v>400</v>
      </c>
      <c r="DV288" s="12">
        <v>400</v>
      </c>
      <c r="DW288" s="12">
        <v>400</v>
      </c>
      <c r="DX288" s="12">
        <f>400-190</f>
        <v>210</v>
      </c>
      <c r="DY288" s="12">
        <f t="shared" ref="DY288:EC289" si="127">400-400</f>
        <v>0</v>
      </c>
      <c r="DZ288" s="12">
        <f t="shared" si="127"/>
        <v>0</v>
      </c>
      <c r="EA288" s="12">
        <f t="shared" si="127"/>
        <v>0</v>
      </c>
      <c r="EB288" s="12">
        <f t="shared" si="127"/>
        <v>0</v>
      </c>
      <c r="EC288" s="12">
        <f t="shared" si="127"/>
        <v>0</v>
      </c>
      <c r="ED288" s="31"/>
      <c r="EE288" s="12"/>
      <c r="EF288" s="12"/>
      <c r="EG288" s="12"/>
      <c r="EH288" s="12"/>
      <c r="EI288" s="12"/>
    </row>
    <row r="289" spans="1:140" s="32" customFormat="1" ht="22.5" customHeight="1">
      <c r="A289" s="59">
        <v>89</v>
      </c>
      <c r="B289" s="52" t="s">
        <v>64</v>
      </c>
      <c r="C289" s="51" t="s">
        <v>313</v>
      </c>
      <c r="D289" s="50">
        <f>1200+600-295</f>
        <v>1505</v>
      </c>
      <c r="E289" s="80" t="s">
        <v>363</v>
      </c>
      <c r="F289" s="52" t="s">
        <v>311</v>
      </c>
      <c r="G289" s="141">
        <f>3800*6*0.9-3420*4-1710</f>
        <v>5130</v>
      </c>
      <c r="H289" s="52" t="s">
        <v>311</v>
      </c>
      <c r="I289" s="89">
        <f>400-180</f>
        <v>220</v>
      </c>
      <c r="J289" s="52" t="s">
        <v>311</v>
      </c>
      <c r="K289" s="30">
        <f>400*6-400*5</f>
        <v>400</v>
      </c>
      <c r="L289" s="29">
        <f t="shared" si="117"/>
        <v>7255</v>
      </c>
      <c r="M289" s="29">
        <f>SUM(O289:EC289)</f>
        <v>5750</v>
      </c>
      <c r="N289" s="29">
        <f t="shared" si="118"/>
        <v>1505</v>
      </c>
      <c r="O289" s="29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>
        <f>3800*0.9/2</f>
        <v>1710</v>
      </c>
      <c r="AO289" s="31">
        <f>3800*0.9</f>
        <v>3420</v>
      </c>
      <c r="AP289" s="31">
        <f>3800*0.9-3420</f>
        <v>0</v>
      </c>
      <c r="AQ289" s="31">
        <f>3800*0.9-3420</f>
        <v>0</v>
      </c>
      <c r="AR289" s="31">
        <f>3800*0.9-3420</f>
        <v>0</v>
      </c>
      <c r="AS289" s="31">
        <f>3800*0.9-3420</f>
        <v>0</v>
      </c>
      <c r="AT289" s="31"/>
      <c r="AU289" s="31"/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9"/>
      <c r="BM289" s="31"/>
      <c r="BN289" s="31"/>
      <c r="BO289" s="31"/>
      <c r="BP289" s="31"/>
      <c r="BQ289" s="31"/>
      <c r="BR289" s="31"/>
      <c r="BS289" s="31"/>
      <c r="BT289" s="31"/>
      <c r="BU289" s="31"/>
      <c r="BV289" s="31"/>
      <c r="BW289" s="31"/>
      <c r="BX289" s="31"/>
      <c r="BY289" s="31"/>
      <c r="BZ289" s="31"/>
      <c r="CA289" s="31"/>
      <c r="CB289" s="31"/>
      <c r="CC289" s="31"/>
      <c r="CD289" s="31"/>
      <c r="CE289" s="31"/>
      <c r="CF289" s="31"/>
      <c r="CG289" s="31"/>
      <c r="CH289" s="31"/>
      <c r="CI289" s="31"/>
      <c r="CJ289" s="31"/>
      <c r="CK289" s="31"/>
      <c r="CL289" s="31">
        <f>400-180</f>
        <v>220</v>
      </c>
      <c r="CM289" s="31"/>
      <c r="CN289" s="31"/>
      <c r="CO289" s="31"/>
      <c r="CP289" s="31"/>
      <c r="CQ289" s="31"/>
      <c r="CR289" s="31"/>
      <c r="CS289" s="31"/>
      <c r="CT289" s="31"/>
      <c r="CU289" s="31"/>
      <c r="CV289" s="31"/>
      <c r="CW289" s="31"/>
      <c r="CX289" s="180"/>
      <c r="CY289" s="31"/>
      <c r="CZ289" s="31"/>
      <c r="DA289" s="31"/>
      <c r="DB289" s="31"/>
      <c r="DC289" s="31"/>
      <c r="DD289" s="31"/>
      <c r="DE289" s="31"/>
      <c r="DF289" s="31"/>
      <c r="DG289" s="31"/>
      <c r="DH289" s="31"/>
      <c r="DI289" s="31"/>
      <c r="DJ289" s="31"/>
      <c r="DK289" s="31"/>
      <c r="DL289" s="182"/>
      <c r="DM289" s="182"/>
      <c r="DN289" s="182"/>
      <c r="DO289" s="182"/>
      <c r="DP289" s="182"/>
      <c r="DQ289" s="182"/>
      <c r="DR289" s="31"/>
      <c r="DS289" s="31"/>
      <c r="DT289" s="31"/>
      <c r="DU289" s="31"/>
      <c r="DV289" s="31"/>
      <c r="DW289" s="31"/>
      <c r="DX289" s="31">
        <v>400</v>
      </c>
      <c r="DY289" s="31">
        <f t="shared" si="127"/>
        <v>0</v>
      </c>
      <c r="DZ289" s="31">
        <f t="shared" si="127"/>
        <v>0</v>
      </c>
      <c r="EA289" s="31">
        <f t="shared" si="127"/>
        <v>0</v>
      </c>
      <c r="EB289" s="31">
        <f t="shared" si="127"/>
        <v>0</v>
      </c>
      <c r="EC289" s="31">
        <f t="shared" si="127"/>
        <v>0</v>
      </c>
      <c r="ED289" s="31"/>
      <c r="EE289" s="31"/>
      <c r="EF289" s="31"/>
      <c r="EG289" s="31"/>
      <c r="EH289" s="31"/>
      <c r="EI289" s="31"/>
      <c r="EJ289" s="28"/>
    </row>
    <row r="290" spans="1:140" s="34" customFormat="1" ht="22.5" customHeight="1">
      <c r="A290" s="59">
        <v>90</v>
      </c>
      <c r="B290" s="52" t="s">
        <v>64</v>
      </c>
      <c r="C290" s="51" t="s">
        <v>49</v>
      </c>
      <c r="D290" s="50">
        <f>1200+300+300+600-600</f>
        <v>1800</v>
      </c>
      <c r="E290" s="80" t="s">
        <v>575</v>
      </c>
      <c r="F290" s="80" t="s">
        <v>115</v>
      </c>
      <c r="G290" s="141">
        <f>3150*24+3150/2-1575-2650-2650-1575-2650-3150*11</f>
        <v>31425</v>
      </c>
      <c r="H290" s="52" t="s">
        <v>279</v>
      </c>
      <c r="I290" s="89">
        <f>400*7-400+400*6-400-60-45-400+400*6-105-400-400*5</f>
        <v>3790</v>
      </c>
      <c r="J290" s="51"/>
      <c r="K290" s="30"/>
      <c r="L290" s="30">
        <f t="shared" si="117"/>
        <v>37015</v>
      </c>
      <c r="M290" s="29">
        <f>SUM(O290:DS290)</f>
        <v>35215</v>
      </c>
      <c r="N290" s="29">
        <f t="shared" si="118"/>
        <v>1800</v>
      </c>
      <c r="AA290" s="31">
        <f>3150/2-1575</f>
        <v>0</v>
      </c>
      <c r="AB290" s="31">
        <v>3150</v>
      </c>
      <c r="AC290" s="31">
        <f>3150-2650</f>
        <v>500</v>
      </c>
      <c r="AD290" s="31">
        <v>3150</v>
      </c>
      <c r="AE290" s="31">
        <v>3150</v>
      </c>
      <c r="AF290" s="31">
        <v>3150</v>
      </c>
      <c r="AG290" s="31">
        <f>3150-2650</f>
        <v>500</v>
      </c>
      <c r="AH290" s="31">
        <v>3150</v>
      </c>
      <c r="AI290" s="31">
        <v>3150</v>
      </c>
      <c r="AJ290" s="31">
        <v>3150</v>
      </c>
      <c r="AK290" s="31">
        <f>3150/2</f>
        <v>1575</v>
      </c>
      <c r="AL290" s="31">
        <v>3150</v>
      </c>
      <c r="AM290" s="31">
        <f>3150-2650</f>
        <v>500</v>
      </c>
      <c r="AN290" s="31">
        <v>3150</v>
      </c>
      <c r="AO290" s="31">
        <f t="shared" ref="AO290:AY290" si="128">3150-3150</f>
        <v>0</v>
      </c>
      <c r="AP290" s="31">
        <f t="shared" si="128"/>
        <v>0</v>
      </c>
      <c r="AQ290" s="31">
        <f t="shared" si="128"/>
        <v>0</v>
      </c>
      <c r="AR290" s="31">
        <f t="shared" si="128"/>
        <v>0</v>
      </c>
      <c r="AS290" s="31">
        <f t="shared" si="128"/>
        <v>0</v>
      </c>
      <c r="AT290" s="31">
        <f t="shared" si="128"/>
        <v>0</v>
      </c>
      <c r="AU290" s="31">
        <f t="shared" si="128"/>
        <v>0</v>
      </c>
      <c r="AV290" s="31">
        <f t="shared" si="128"/>
        <v>0</v>
      </c>
      <c r="AW290" s="31">
        <f t="shared" si="128"/>
        <v>0</v>
      </c>
      <c r="AX290" s="31">
        <f t="shared" si="128"/>
        <v>0</v>
      </c>
      <c r="AY290" s="31">
        <f t="shared" si="128"/>
        <v>0</v>
      </c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6"/>
      <c r="BY290" s="12">
        <f>400-400</f>
        <v>0</v>
      </c>
      <c r="BZ290" s="12">
        <v>400</v>
      </c>
      <c r="CA290" s="12">
        <f>400-400</f>
        <v>0</v>
      </c>
      <c r="CB290" s="12">
        <v>400</v>
      </c>
      <c r="CC290" s="12">
        <f>400-60</f>
        <v>340</v>
      </c>
      <c r="CD290" s="12">
        <f>400-45</f>
        <v>355</v>
      </c>
      <c r="CE290" s="12">
        <f>400-400</f>
        <v>0</v>
      </c>
      <c r="CF290" s="12">
        <v>400</v>
      </c>
      <c r="CG290" s="12">
        <v>400</v>
      </c>
      <c r="CH290" s="12">
        <v>400</v>
      </c>
      <c r="CI290" s="12">
        <f>400-105</f>
        <v>295</v>
      </c>
      <c r="CJ290" s="12">
        <v>400</v>
      </c>
      <c r="CK290" s="31">
        <f>400-400</f>
        <v>0</v>
      </c>
      <c r="CL290" s="31">
        <v>400</v>
      </c>
      <c r="CM290" s="31">
        <f>400-400</f>
        <v>0</v>
      </c>
      <c r="CN290" s="31">
        <f>400-400</f>
        <v>0</v>
      </c>
      <c r="CO290" s="31">
        <f>400-400</f>
        <v>0</v>
      </c>
      <c r="CP290" s="31">
        <f>400-400</f>
        <v>0</v>
      </c>
      <c r="CQ290" s="31">
        <f>400-400</f>
        <v>0</v>
      </c>
      <c r="CR290" s="31"/>
      <c r="CS290" s="31"/>
      <c r="CT290" s="31"/>
      <c r="CU290" s="31"/>
      <c r="CV290" s="31"/>
      <c r="CW290" s="31"/>
      <c r="CX290" s="36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31"/>
      <c r="EE290" s="12"/>
      <c r="EF290" s="12"/>
      <c r="EG290" s="12"/>
      <c r="EH290" s="12"/>
      <c r="EI290" s="12"/>
    </row>
    <row r="291" spans="1:140" s="32" customFormat="1" ht="22.5" customHeight="1">
      <c r="A291" s="59">
        <v>91</v>
      </c>
      <c r="B291" s="52" t="s">
        <v>64</v>
      </c>
      <c r="C291" s="51" t="s">
        <v>119</v>
      </c>
      <c r="D291" s="50">
        <f>1200+300+600</f>
        <v>2100</v>
      </c>
      <c r="E291" s="80" t="s">
        <v>410</v>
      </c>
      <c r="F291" s="52" t="s">
        <v>411</v>
      </c>
      <c r="G291" s="141">
        <f>3500*6+3500+3500*2-800</f>
        <v>30700</v>
      </c>
      <c r="H291" s="52" t="s">
        <v>411</v>
      </c>
      <c r="I291" s="89">
        <f>17*20+400*5+400+295+280</f>
        <v>3315</v>
      </c>
      <c r="J291" s="52"/>
      <c r="K291" s="30"/>
      <c r="L291" s="29">
        <f t="shared" si="117"/>
        <v>36115</v>
      </c>
      <c r="M291" s="29">
        <f>SUM(O291:DS291)</f>
        <v>34015</v>
      </c>
      <c r="N291" s="29">
        <f t="shared" si="118"/>
        <v>2100</v>
      </c>
      <c r="O291" s="29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>
        <v>3500</v>
      </c>
      <c r="AI291" s="31">
        <v>3500</v>
      </c>
      <c r="AJ291" s="31">
        <v>3500</v>
      </c>
      <c r="AK291" s="31">
        <v>3500</v>
      </c>
      <c r="AL291" s="31">
        <v>3500</v>
      </c>
      <c r="AM291" s="31">
        <v>3500</v>
      </c>
      <c r="AN291" s="31">
        <v>3500</v>
      </c>
      <c r="AO291" s="31">
        <v>3500</v>
      </c>
      <c r="AP291" s="31">
        <f>3500-800</f>
        <v>2700</v>
      </c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9"/>
      <c r="BM291" s="31"/>
      <c r="BN291" s="31"/>
      <c r="BO291" s="31"/>
      <c r="BP291" s="31"/>
      <c r="BQ291" s="31"/>
      <c r="BR291" s="31"/>
      <c r="BS291" s="31"/>
      <c r="BT291" s="31"/>
      <c r="BU291" s="31"/>
      <c r="BV291" s="31"/>
      <c r="BW291" s="31"/>
      <c r="BX291" s="31"/>
      <c r="BY291" s="31"/>
      <c r="BZ291" s="31"/>
      <c r="CA291" s="31"/>
      <c r="CB291" s="31"/>
      <c r="CC291" s="31"/>
      <c r="CD291" s="31"/>
      <c r="CE291" s="31"/>
      <c r="CF291" s="31">
        <f>17*20</f>
        <v>340</v>
      </c>
      <c r="CG291" s="31">
        <v>400</v>
      </c>
      <c r="CH291" s="31">
        <v>400</v>
      </c>
      <c r="CI291" s="31">
        <v>400</v>
      </c>
      <c r="CJ291" s="31">
        <v>400</v>
      </c>
      <c r="CK291" s="31">
        <v>400</v>
      </c>
      <c r="CL291" s="31">
        <v>400</v>
      </c>
      <c r="CM291" s="31">
        <v>295</v>
      </c>
      <c r="CN291" s="31">
        <v>280</v>
      </c>
      <c r="CO291" s="31"/>
      <c r="CP291" s="31"/>
      <c r="CQ291" s="31"/>
      <c r="CR291" s="31"/>
      <c r="CS291" s="31"/>
      <c r="CT291" s="31"/>
      <c r="CU291" s="31"/>
      <c r="CV291" s="31"/>
      <c r="CW291" s="31"/>
      <c r="CX291" s="180"/>
      <c r="CY291" s="31"/>
      <c r="CZ291" s="31"/>
      <c r="DA291" s="31"/>
      <c r="DB291" s="31"/>
      <c r="DC291" s="31"/>
      <c r="DD291" s="31"/>
      <c r="DE291" s="31"/>
      <c r="DF291" s="31"/>
      <c r="DG291" s="31"/>
      <c r="DH291" s="31"/>
      <c r="DI291" s="31"/>
      <c r="DJ291" s="31"/>
      <c r="DK291" s="31"/>
      <c r="DL291" s="182"/>
      <c r="DM291" s="182"/>
      <c r="DN291" s="182"/>
      <c r="DO291" s="182"/>
      <c r="DP291" s="182"/>
      <c r="DQ291" s="182"/>
      <c r="DR291" s="31"/>
      <c r="DS291" s="31"/>
      <c r="DT291" s="31"/>
      <c r="DU291" s="31"/>
      <c r="DV291" s="31"/>
      <c r="DW291" s="31"/>
      <c r="DX291" s="31"/>
      <c r="DY291" s="31"/>
      <c r="DZ291" s="31"/>
      <c r="EA291" s="31"/>
      <c r="EB291" s="31"/>
      <c r="EC291" s="31"/>
      <c r="ED291" s="31"/>
      <c r="EE291" s="31"/>
      <c r="EF291" s="31"/>
      <c r="EG291" s="31"/>
      <c r="EH291" s="31"/>
      <c r="EI291" s="31"/>
      <c r="EJ291" s="28"/>
    </row>
    <row r="292" spans="1:140" s="32" customFormat="1" ht="22.5" customHeight="1">
      <c r="A292" s="59">
        <v>92</v>
      </c>
      <c r="B292" s="52" t="s">
        <v>64</v>
      </c>
      <c r="C292" s="51" t="s">
        <v>310</v>
      </c>
      <c r="D292" s="50">
        <f>1200+600</f>
        <v>1800</v>
      </c>
      <c r="E292" s="80" t="s">
        <v>412</v>
      </c>
      <c r="F292" s="52" t="s">
        <v>415</v>
      </c>
      <c r="G292" s="141">
        <f>5000*0.85+4250*2-800</f>
        <v>11950</v>
      </c>
      <c r="H292" s="52" t="s">
        <v>415</v>
      </c>
      <c r="I292" s="89">
        <f>400+295+340</f>
        <v>1035</v>
      </c>
      <c r="J292" s="52"/>
      <c r="K292" s="30"/>
      <c r="L292" s="29">
        <f t="shared" si="117"/>
        <v>14785</v>
      </c>
      <c r="M292" s="29">
        <f>SUM(O292:DS292)</f>
        <v>12985</v>
      </c>
      <c r="N292" s="29">
        <f t="shared" si="118"/>
        <v>1800</v>
      </c>
      <c r="O292" s="29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>
        <f>5000*0.85</f>
        <v>4250</v>
      </c>
      <c r="AO292" s="31">
        <f>5000*0.85</f>
        <v>4250</v>
      </c>
      <c r="AP292" s="31">
        <f>5000*0.85-800</f>
        <v>3450</v>
      </c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9"/>
      <c r="BM292" s="31"/>
      <c r="BN292" s="31"/>
      <c r="BO292" s="31"/>
      <c r="BP292" s="31"/>
      <c r="BQ292" s="31"/>
      <c r="BR292" s="31"/>
      <c r="BS292" s="31"/>
      <c r="BT292" s="31"/>
      <c r="BU292" s="31"/>
      <c r="BV292" s="31"/>
      <c r="BW292" s="31"/>
      <c r="BX292" s="31"/>
      <c r="BY292" s="31"/>
      <c r="BZ292" s="31"/>
      <c r="CA292" s="31"/>
      <c r="CB292" s="31"/>
      <c r="CC292" s="31"/>
      <c r="CD292" s="31"/>
      <c r="CE292" s="31"/>
      <c r="CF292" s="31"/>
      <c r="CG292" s="31"/>
      <c r="CH292" s="31"/>
      <c r="CI292" s="31"/>
      <c r="CJ292" s="31"/>
      <c r="CK292" s="31"/>
      <c r="CL292" s="31">
        <v>400</v>
      </c>
      <c r="CM292" s="31">
        <v>295</v>
      </c>
      <c r="CN292" s="31">
        <v>340</v>
      </c>
      <c r="CO292" s="31"/>
      <c r="CP292" s="31"/>
      <c r="CQ292" s="31"/>
      <c r="CR292" s="31"/>
      <c r="CS292" s="31"/>
      <c r="CT292" s="31"/>
      <c r="CU292" s="31"/>
      <c r="CV292" s="31"/>
      <c r="CW292" s="31"/>
      <c r="CX292" s="180"/>
      <c r="CY292" s="31"/>
      <c r="CZ292" s="31"/>
      <c r="DA292" s="31"/>
      <c r="DB292" s="31"/>
      <c r="DC292" s="31"/>
      <c r="DD292" s="31"/>
      <c r="DE292" s="31"/>
      <c r="DF292" s="31"/>
      <c r="DG292" s="31"/>
      <c r="DH292" s="31"/>
      <c r="DI292" s="31"/>
      <c r="DJ292" s="31"/>
      <c r="DK292" s="31"/>
      <c r="DL292" s="182"/>
      <c r="DM292" s="182"/>
      <c r="DN292" s="182"/>
      <c r="DO292" s="182"/>
      <c r="DP292" s="182"/>
      <c r="DQ292" s="182"/>
      <c r="DR292" s="31"/>
      <c r="DS292" s="31"/>
      <c r="DT292" s="31"/>
      <c r="DU292" s="31"/>
      <c r="DV292" s="31"/>
      <c r="DW292" s="31"/>
      <c r="DX292" s="31"/>
      <c r="DY292" s="31"/>
      <c r="DZ292" s="31"/>
      <c r="EA292" s="31"/>
      <c r="EB292" s="31"/>
      <c r="EC292" s="31"/>
      <c r="ED292" s="31"/>
      <c r="EE292" s="31"/>
      <c r="EF292" s="31"/>
      <c r="EG292" s="31"/>
      <c r="EH292" s="31"/>
      <c r="EI292" s="31"/>
      <c r="EJ292" s="28"/>
    </row>
    <row r="293" spans="1:140" ht="22.5" customHeight="1">
      <c r="A293" s="59">
        <v>93</v>
      </c>
      <c r="B293" s="52" t="s">
        <v>64</v>
      </c>
      <c r="C293" s="54" t="s">
        <v>57</v>
      </c>
      <c r="D293" s="50">
        <f>1200+300+300+600</f>
        <v>2400</v>
      </c>
      <c r="E293" s="79" t="s">
        <v>299</v>
      </c>
      <c r="F293" s="59" t="s">
        <v>269</v>
      </c>
      <c r="G293" s="142">
        <f>2500*6+2500*6+1000*5+3500*6</f>
        <v>56000</v>
      </c>
      <c r="H293" s="52" t="s">
        <v>269</v>
      </c>
      <c r="I293" s="89">
        <f>400*6+400*6-20-105-45+400*6</f>
        <v>7030</v>
      </c>
      <c r="J293" s="52" t="s">
        <v>269</v>
      </c>
      <c r="K293" s="11">
        <f>200*6+400*6+400*6</f>
        <v>6000</v>
      </c>
      <c r="L293" s="8">
        <f t="shared" si="117"/>
        <v>71430</v>
      </c>
      <c r="M293" s="29">
        <f>SUM(O293:EC293)</f>
        <v>69030</v>
      </c>
      <c r="N293" s="29">
        <f t="shared" si="118"/>
        <v>2400</v>
      </c>
      <c r="O293" s="8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31"/>
      <c r="AB293" s="31">
        <v>2500</v>
      </c>
      <c r="AC293" s="31">
        <v>2500</v>
      </c>
      <c r="AD293" s="31">
        <v>2500</v>
      </c>
      <c r="AE293" s="31">
        <v>2500</v>
      </c>
      <c r="AF293" s="31">
        <v>2500</v>
      </c>
      <c r="AG293" s="31">
        <v>2500</v>
      </c>
      <c r="AH293" s="31">
        <v>2500</v>
      </c>
      <c r="AI293" s="31">
        <f t="shared" ref="AI293:AS293" si="129">2500+1000</f>
        <v>3500</v>
      </c>
      <c r="AJ293" s="31">
        <f t="shared" si="129"/>
        <v>3500</v>
      </c>
      <c r="AK293" s="31">
        <f t="shared" si="129"/>
        <v>3500</v>
      </c>
      <c r="AL293" s="31">
        <f t="shared" si="129"/>
        <v>3500</v>
      </c>
      <c r="AM293" s="31">
        <f t="shared" si="129"/>
        <v>3500</v>
      </c>
      <c r="AN293" s="31">
        <f t="shared" si="129"/>
        <v>3500</v>
      </c>
      <c r="AO293" s="31">
        <f t="shared" si="129"/>
        <v>3500</v>
      </c>
      <c r="AP293" s="31">
        <f t="shared" si="129"/>
        <v>3500</v>
      </c>
      <c r="AQ293" s="31">
        <f t="shared" si="129"/>
        <v>3500</v>
      </c>
      <c r="AR293" s="31">
        <f t="shared" si="129"/>
        <v>3500</v>
      </c>
      <c r="AS293" s="31">
        <f t="shared" si="129"/>
        <v>3500</v>
      </c>
      <c r="AT293" s="31"/>
      <c r="AU293" s="31"/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9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>
        <f>400-20</f>
        <v>380</v>
      </c>
      <c r="CA293" s="12">
        <v>400</v>
      </c>
      <c r="CB293" s="12">
        <v>400</v>
      </c>
      <c r="CC293" s="12">
        <f>400-105</f>
        <v>295</v>
      </c>
      <c r="CD293" s="12">
        <f>400-45</f>
        <v>355</v>
      </c>
      <c r="CE293" s="12">
        <v>400</v>
      </c>
      <c r="CF293" s="12">
        <v>400</v>
      </c>
      <c r="CG293" s="12">
        <v>400</v>
      </c>
      <c r="CH293" s="12">
        <v>400</v>
      </c>
      <c r="CI293" s="12">
        <v>400</v>
      </c>
      <c r="CJ293" s="12">
        <v>400</v>
      </c>
      <c r="CK293" s="31">
        <v>400</v>
      </c>
      <c r="CL293" s="31">
        <v>400</v>
      </c>
      <c r="CM293" s="31">
        <v>400</v>
      </c>
      <c r="CN293" s="31">
        <v>400</v>
      </c>
      <c r="CO293" s="12">
        <v>400</v>
      </c>
      <c r="CP293" s="12">
        <v>400</v>
      </c>
      <c r="CQ293" s="12">
        <v>400</v>
      </c>
      <c r="CR293" s="12"/>
      <c r="CS293" s="12"/>
      <c r="CT293" s="12"/>
      <c r="CU293" s="12"/>
      <c r="CV293" s="12"/>
      <c r="CW293" s="12"/>
      <c r="CX293" s="180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>
        <v>200</v>
      </c>
      <c r="DM293" s="12">
        <v>200</v>
      </c>
      <c r="DN293" s="12">
        <v>200</v>
      </c>
      <c r="DO293" s="12">
        <v>200</v>
      </c>
      <c r="DP293" s="12">
        <v>200</v>
      </c>
      <c r="DQ293" s="12">
        <v>200</v>
      </c>
      <c r="DR293" s="12">
        <v>400</v>
      </c>
      <c r="DS293" s="12">
        <v>400</v>
      </c>
      <c r="DT293" s="12">
        <v>400</v>
      </c>
      <c r="DU293" s="12">
        <v>400</v>
      </c>
      <c r="DV293" s="12">
        <v>400</v>
      </c>
      <c r="DW293" s="12">
        <v>400</v>
      </c>
      <c r="DX293" s="12">
        <v>400</v>
      </c>
      <c r="DY293" s="12">
        <v>400</v>
      </c>
      <c r="DZ293" s="12">
        <v>400</v>
      </c>
      <c r="EA293" s="12">
        <v>400</v>
      </c>
      <c r="EB293" s="12">
        <v>400</v>
      </c>
      <c r="EC293" s="12">
        <v>400</v>
      </c>
      <c r="ED293" s="31"/>
      <c r="EE293" s="12"/>
      <c r="EF293" s="12"/>
      <c r="EG293" s="12"/>
      <c r="EH293" s="12"/>
      <c r="EI293" s="12"/>
      <c r="EJ293" s="23"/>
    </row>
    <row r="294" spans="1:140" s="32" customFormat="1" ht="21.75" customHeight="1">
      <c r="A294" s="59">
        <v>94</v>
      </c>
      <c r="B294" s="52" t="s">
        <v>64</v>
      </c>
      <c r="C294" s="51" t="s">
        <v>236</v>
      </c>
      <c r="D294" s="50">
        <f>1200+600+600</f>
        <v>2400</v>
      </c>
      <c r="E294" s="80" t="s">
        <v>81</v>
      </c>
      <c r="F294" s="52" t="s">
        <v>82</v>
      </c>
      <c r="G294" s="141">
        <f>1250+5000*9-1800</f>
        <v>44450</v>
      </c>
      <c r="H294" s="52" t="s">
        <v>82</v>
      </c>
      <c r="I294" s="89">
        <f>20*4+400+400*2+400+400+295+400+400-75+265</f>
        <v>3365</v>
      </c>
      <c r="J294" s="52"/>
      <c r="K294" s="30"/>
      <c r="L294" s="29">
        <f t="shared" si="117"/>
        <v>50215</v>
      </c>
      <c r="M294" s="29">
        <f>SUM(O294:DS294)</f>
        <v>47815</v>
      </c>
      <c r="N294" s="29">
        <f t="shared" si="118"/>
        <v>2400</v>
      </c>
      <c r="O294" s="29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>
        <f>5000/4</f>
        <v>1250</v>
      </c>
      <c r="AK294" s="31">
        <v>5000</v>
      </c>
      <c r="AL294" s="31">
        <v>5000</v>
      </c>
      <c r="AM294" s="31">
        <v>5000</v>
      </c>
      <c r="AN294" s="31">
        <f t="shared" ref="AN294:AS294" si="130">5000-300</f>
        <v>4700</v>
      </c>
      <c r="AO294" s="31">
        <f t="shared" si="130"/>
        <v>4700</v>
      </c>
      <c r="AP294" s="31">
        <f t="shared" si="130"/>
        <v>4700</v>
      </c>
      <c r="AQ294" s="31">
        <f t="shared" si="130"/>
        <v>4700</v>
      </c>
      <c r="AR294" s="31">
        <f t="shared" si="130"/>
        <v>4700</v>
      </c>
      <c r="AS294" s="31">
        <f t="shared" si="130"/>
        <v>4700</v>
      </c>
      <c r="AT294" s="31"/>
      <c r="AU294" s="31"/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9"/>
      <c r="BM294" s="31"/>
      <c r="BN294" s="31"/>
      <c r="BO294" s="31"/>
      <c r="BP294" s="31"/>
      <c r="BQ294" s="31"/>
      <c r="BR294" s="31"/>
      <c r="BS294" s="31"/>
      <c r="BT294" s="31"/>
      <c r="BU294" s="31"/>
      <c r="BV294" s="31"/>
      <c r="BW294" s="31"/>
      <c r="BX294" s="31"/>
      <c r="BY294" s="31"/>
      <c r="BZ294" s="31"/>
      <c r="CA294" s="31"/>
      <c r="CB294" s="31"/>
      <c r="CC294" s="31"/>
      <c r="CD294" s="31"/>
      <c r="CE294" s="31"/>
      <c r="CF294" s="31"/>
      <c r="CG294" s="31"/>
      <c r="CH294" s="31">
        <f>20*4</f>
        <v>80</v>
      </c>
      <c r="CI294" s="31">
        <v>400</v>
      </c>
      <c r="CJ294" s="31">
        <v>400</v>
      </c>
      <c r="CK294" s="31">
        <f>400-75</f>
        <v>325</v>
      </c>
      <c r="CL294" s="31">
        <v>400</v>
      </c>
      <c r="CM294" s="31">
        <v>400</v>
      </c>
      <c r="CN294" s="31">
        <v>295</v>
      </c>
      <c r="CO294" s="31">
        <v>400</v>
      </c>
      <c r="CP294" s="31">
        <v>400</v>
      </c>
      <c r="CQ294" s="31">
        <v>265</v>
      </c>
      <c r="CR294" s="31"/>
      <c r="CS294" s="31"/>
      <c r="CT294" s="31"/>
      <c r="CU294" s="31"/>
      <c r="CV294" s="31"/>
      <c r="CW294" s="31"/>
      <c r="CX294" s="180"/>
      <c r="CY294" s="31"/>
      <c r="CZ294" s="31"/>
      <c r="DA294" s="31"/>
      <c r="DB294" s="31"/>
      <c r="DC294" s="31"/>
      <c r="DD294" s="31"/>
      <c r="DE294" s="31"/>
      <c r="DF294" s="31"/>
      <c r="DG294" s="31"/>
      <c r="DH294" s="31"/>
      <c r="DI294" s="31"/>
      <c r="DJ294" s="31"/>
      <c r="DK294" s="31"/>
      <c r="DL294" s="182"/>
      <c r="DM294" s="182"/>
      <c r="DN294" s="182"/>
      <c r="DO294" s="182"/>
      <c r="DP294" s="182"/>
      <c r="DQ294" s="182"/>
      <c r="DR294" s="31"/>
      <c r="DS294" s="31"/>
      <c r="DT294" s="31"/>
      <c r="DU294" s="31"/>
      <c r="DV294" s="31"/>
      <c r="DW294" s="31"/>
      <c r="DX294" s="31"/>
      <c r="DY294" s="31"/>
      <c r="DZ294" s="31"/>
      <c r="EA294" s="31"/>
      <c r="EB294" s="31"/>
      <c r="EC294" s="31"/>
      <c r="ED294" s="31"/>
      <c r="EE294" s="31"/>
      <c r="EF294" s="31"/>
      <c r="EG294" s="31"/>
      <c r="EH294" s="31"/>
      <c r="EI294" s="31"/>
      <c r="EJ294" s="28"/>
    </row>
    <row r="295" spans="1:140" s="32" customFormat="1" ht="22.5" customHeight="1">
      <c r="A295" s="59">
        <v>95</v>
      </c>
      <c r="B295" s="52" t="s">
        <v>64</v>
      </c>
      <c r="C295" s="51" t="s">
        <v>206</v>
      </c>
      <c r="D295" s="50">
        <f>1200+600+600</f>
        <v>2400</v>
      </c>
      <c r="E295" s="80" t="s">
        <v>427</v>
      </c>
      <c r="F295" s="52" t="s">
        <v>203</v>
      </c>
      <c r="G295" s="141">
        <f>5000*10*0.85-2125-2125</f>
        <v>38250</v>
      </c>
      <c r="H295" s="52" t="s">
        <v>203</v>
      </c>
      <c r="I295" s="89">
        <f>400+400+400*2+400*2-45+400*4-180-45-75-120</f>
        <v>3535</v>
      </c>
      <c r="J295" s="52" t="s">
        <v>253</v>
      </c>
      <c r="K295" s="30">
        <f>400*2+400*6</f>
        <v>3200</v>
      </c>
      <c r="L295" s="29">
        <f t="shared" si="117"/>
        <v>47385</v>
      </c>
      <c r="M295" s="29">
        <f>SUM(O295:EC295)</f>
        <v>44985</v>
      </c>
      <c r="N295" s="29">
        <f t="shared" si="118"/>
        <v>2400</v>
      </c>
      <c r="O295" s="29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>
        <f>5000*0.85</f>
        <v>4250</v>
      </c>
      <c r="AK295" s="31">
        <f>5000*0.85</f>
        <v>4250</v>
      </c>
      <c r="AL295" s="31">
        <f>5000*0.85</f>
        <v>4250</v>
      </c>
      <c r="AM295" s="31">
        <f>5000*0.85</f>
        <v>4250</v>
      </c>
      <c r="AN295" s="31">
        <f>5000*0.85/2</f>
        <v>2125</v>
      </c>
      <c r="AO295" s="31">
        <f>5000*0.85</f>
        <v>4250</v>
      </c>
      <c r="AP295" s="31">
        <f>5000*0.85</f>
        <v>4250</v>
      </c>
      <c r="AQ295" s="31">
        <f>5000*0.85</f>
        <v>4250</v>
      </c>
      <c r="AR295" s="31">
        <f>5000*0.85</f>
        <v>4250</v>
      </c>
      <c r="AS295" s="31">
        <f>5000*0.85/2</f>
        <v>2125</v>
      </c>
      <c r="AT295" s="31"/>
      <c r="AU295" s="31"/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9"/>
      <c r="BM295" s="31"/>
      <c r="BN295" s="31"/>
      <c r="BO295" s="31"/>
      <c r="BP295" s="31"/>
      <c r="BQ295" s="31"/>
      <c r="BR295" s="31"/>
      <c r="BS295" s="31"/>
      <c r="BT295" s="31"/>
      <c r="BU295" s="31"/>
      <c r="BV295" s="31"/>
      <c r="BW295" s="31"/>
      <c r="BX295" s="31"/>
      <c r="BY295" s="31"/>
      <c r="BZ295" s="31"/>
      <c r="CA295" s="31"/>
      <c r="CB295" s="31"/>
      <c r="CC295" s="31"/>
      <c r="CD295" s="31"/>
      <c r="CE295" s="31"/>
      <c r="CF295" s="31"/>
      <c r="CG295" s="31"/>
      <c r="CH295" s="31">
        <v>400</v>
      </c>
      <c r="CI295" s="31">
        <f>400-45</f>
        <v>355</v>
      </c>
      <c r="CJ295" s="31">
        <v>400</v>
      </c>
      <c r="CK295" s="31">
        <f>400-45</f>
        <v>355</v>
      </c>
      <c r="CL295" s="31">
        <f>400-180</f>
        <v>220</v>
      </c>
      <c r="CM295" s="31">
        <v>400</v>
      </c>
      <c r="CN295" s="31">
        <v>400</v>
      </c>
      <c r="CO295" s="31">
        <v>400</v>
      </c>
      <c r="CP295" s="31">
        <f>400-75</f>
        <v>325</v>
      </c>
      <c r="CQ295" s="31">
        <f>400-120</f>
        <v>280</v>
      </c>
      <c r="CR295" s="31"/>
      <c r="CS295" s="31"/>
      <c r="CT295" s="31"/>
      <c r="CU295" s="31"/>
      <c r="CV295" s="31"/>
      <c r="CW295" s="31"/>
      <c r="CX295" s="180"/>
      <c r="CY295" s="31"/>
      <c r="CZ295" s="31"/>
      <c r="DA295" s="31"/>
      <c r="DB295" s="31"/>
      <c r="DC295" s="31"/>
      <c r="DD295" s="31"/>
      <c r="DE295" s="31"/>
      <c r="DF295" s="31"/>
      <c r="DG295" s="31"/>
      <c r="DH295" s="31"/>
      <c r="DI295" s="31"/>
      <c r="DJ295" s="31"/>
      <c r="DK295" s="31"/>
      <c r="DL295" s="182"/>
      <c r="DM295" s="182"/>
      <c r="DN295" s="182"/>
      <c r="DO295" s="182"/>
      <c r="DP295" s="182"/>
      <c r="DQ295" s="182"/>
      <c r="DR295" s="31"/>
      <c r="DS295" s="31"/>
      <c r="DT295" s="31"/>
      <c r="DU295" s="31"/>
      <c r="DV295" s="31">
        <v>400</v>
      </c>
      <c r="DW295" s="31">
        <v>400</v>
      </c>
      <c r="DX295" s="31">
        <v>400</v>
      </c>
      <c r="DY295" s="31">
        <v>400</v>
      </c>
      <c r="DZ295" s="31">
        <v>400</v>
      </c>
      <c r="EA295" s="31">
        <v>400</v>
      </c>
      <c r="EB295" s="31">
        <v>400</v>
      </c>
      <c r="EC295" s="31">
        <v>400</v>
      </c>
      <c r="ED295" s="31"/>
      <c r="EE295" s="31"/>
      <c r="EF295" s="31"/>
      <c r="EG295" s="31"/>
      <c r="EH295" s="31"/>
      <c r="EI295" s="31"/>
      <c r="EJ295" s="28"/>
    </row>
    <row r="296" spans="1:140" s="32" customFormat="1" ht="21.75" customHeight="1">
      <c r="A296" s="59">
        <v>96</v>
      </c>
      <c r="B296" s="52" t="s">
        <v>64</v>
      </c>
      <c r="C296" s="51" t="s">
        <v>252</v>
      </c>
      <c r="D296" s="50">
        <f>1200+600*0.8+600</f>
        <v>2280</v>
      </c>
      <c r="E296" s="80" t="s">
        <v>273</v>
      </c>
      <c r="F296" s="52" t="s">
        <v>253</v>
      </c>
      <c r="G296" s="141">
        <f>3800*8*0.85-1615</f>
        <v>24225</v>
      </c>
      <c r="H296" s="52" t="s">
        <v>253</v>
      </c>
      <c r="I296" s="89">
        <f>400*2+400*2-105+400*2+400-45-75+265</f>
        <v>2840</v>
      </c>
      <c r="J296" s="52" t="s">
        <v>253</v>
      </c>
      <c r="K296" s="30">
        <f>400*2+400*6</f>
        <v>3200</v>
      </c>
      <c r="L296" s="29">
        <f t="shared" si="117"/>
        <v>32545</v>
      </c>
      <c r="M296" s="29">
        <f>SUM(O296:EC296)</f>
        <v>30265</v>
      </c>
      <c r="N296" s="29">
        <f t="shared" si="118"/>
        <v>2280</v>
      </c>
      <c r="O296" s="29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>
        <f t="shared" ref="AL296:AR296" si="131">3800*0.85</f>
        <v>3230</v>
      </c>
      <c r="AM296" s="31">
        <f t="shared" si="131"/>
        <v>3230</v>
      </c>
      <c r="AN296" s="31">
        <f t="shared" si="131"/>
        <v>3230</v>
      </c>
      <c r="AO296" s="31">
        <f t="shared" si="131"/>
        <v>3230</v>
      </c>
      <c r="AP296" s="31">
        <f t="shared" si="131"/>
        <v>3230</v>
      </c>
      <c r="AQ296" s="31">
        <f t="shared" si="131"/>
        <v>3230</v>
      </c>
      <c r="AR296" s="31">
        <f t="shared" si="131"/>
        <v>3230</v>
      </c>
      <c r="AS296" s="31">
        <f>3800*0.85/2</f>
        <v>1615</v>
      </c>
      <c r="AT296" s="31"/>
      <c r="AU296" s="31"/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9"/>
      <c r="BM296" s="31"/>
      <c r="BN296" s="31"/>
      <c r="BO296" s="31"/>
      <c r="BP296" s="31"/>
      <c r="BQ296" s="31"/>
      <c r="BR296" s="31"/>
      <c r="BS296" s="31"/>
      <c r="BT296" s="31"/>
      <c r="BU296" s="31"/>
      <c r="BV296" s="31"/>
      <c r="BW296" s="31"/>
      <c r="BX296" s="31"/>
      <c r="BY296" s="31"/>
      <c r="BZ296" s="31"/>
      <c r="CA296" s="31"/>
      <c r="CB296" s="31"/>
      <c r="CC296" s="31"/>
      <c r="CD296" s="31"/>
      <c r="CE296" s="31"/>
      <c r="CF296" s="31"/>
      <c r="CG296" s="31"/>
      <c r="CH296" s="31"/>
      <c r="CI296" s="31"/>
      <c r="CJ296" s="31">
        <f>400-105</f>
        <v>295</v>
      </c>
      <c r="CK296" s="31">
        <v>400</v>
      </c>
      <c r="CL296" s="31">
        <v>400</v>
      </c>
      <c r="CM296" s="31">
        <v>400</v>
      </c>
      <c r="CN296" s="31">
        <v>400</v>
      </c>
      <c r="CO296" s="31">
        <f>400-45</f>
        <v>355</v>
      </c>
      <c r="CP296" s="31">
        <f>400-75</f>
        <v>325</v>
      </c>
      <c r="CQ296" s="31">
        <v>265</v>
      </c>
      <c r="CR296" s="31"/>
      <c r="CS296" s="31"/>
      <c r="CT296" s="31"/>
      <c r="CU296" s="31"/>
      <c r="CV296" s="31"/>
      <c r="CW296" s="31"/>
      <c r="CX296" s="180"/>
      <c r="CY296" s="31"/>
      <c r="CZ296" s="31"/>
      <c r="DA296" s="31"/>
      <c r="DB296" s="31"/>
      <c r="DC296" s="31"/>
      <c r="DD296" s="31"/>
      <c r="DE296" s="31"/>
      <c r="DF296" s="31"/>
      <c r="DG296" s="31"/>
      <c r="DH296" s="31"/>
      <c r="DI296" s="31"/>
      <c r="DJ296" s="31"/>
      <c r="DK296" s="31"/>
      <c r="DL296" s="182"/>
      <c r="DM296" s="182"/>
      <c r="DN296" s="182"/>
      <c r="DO296" s="182"/>
      <c r="DP296" s="182"/>
      <c r="DQ296" s="182"/>
      <c r="DR296" s="31"/>
      <c r="DS296" s="31"/>
      <c r="DT296" s="31"/>
      <c r="DU296" s="31"/>
      <c r="DV296" s="31">
        <v>400</v>
      </c>
      <c r="DW296" s="31">
        <v>400</v>
      </c>
      <c r="DX296" s="31">
        <v>400</v>
      </c>
      <c r="DY296" s="31">
        <v>400</v>
      </c>
      <c r="DZ296" s="31">
        <v>400</v>
      </c>
      <c r="EA296" s="31">
        <v>400</v>
      </c>
      <c r="EB296" s="31">
        <v>400</v>
      </c>
      <c r="EC296" s="31">
        <v>400</v>
      </c>
      <c r="ED296" s="31"/>
      <c r="EE296" s="31"/>
      <c r="EF296" s="31"/>
      <c r="EG296" s="31"/>
      <c r="EH296" s="31"/>
      <c r="EI296" s="31"/>
      <c r="EJ296" s="28"/>
    </row>
    <row r="297" spans="1:140" s="32" customFormat="1" ht="22.5" customHeight="1">
      <c r="A297" s="59">
        <v>97</v>
      </c>
      <c r="B297" s="52" t="s">
        <v>64</v>
      </c>
      <c r="C297" s="51" t="s">
        <v>258</v>
      </c>
      <c r="D297" s="50">
        <f>1200+600</f>
        <v>1800</v>
      </c>
      <c r="E297" s="80" t="s">
        <v>404</v>
      </c>
      <c r="F297" s="52" t="s">
        <v>113</v>
      </c>
      <c r="G297" s="141">
        <f>3800*6*0.85-2730</f>
        <v>16650</v>
      </c>
      <c r="H297" s="52" t="s">
        <v>405</v>
      </c>
      <c r="I297" s="89">
        <f>13*20+400+2*20+400+400+400+400-75-400-180</f>
        <v>1645</v>
      </c>
      <c r="J297" s="52"/>
      <c r="K297" s="30"/>
      <c r="L297" s="29">
        <f t="shared" si="117"/>
        <v>20095</v>
      </c>
      <c r="M297" s="29">
        <f>SUM(O297:DS297)</f>
        <v>18295</v>
      </c>
      <c r="N297" s="29">
        <f t="shared" si="118"/>
        <v>1800</v>
      </c>
      <c r="O297" s="29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>
        <f>3800*0.85</f>
        <v>3230</v>
      </c>
      <c r="AO297" s="31">
        <f>3800*0.85</f>
        <v>3230</v>
      </c>
      <c r="AP297" s="31">
        <f>3800*0.85</f>
        <v>3230</v>
      </c>
      <c r="AQ297" s="31">
        <f>3800*0.85</f>
        <v>3230</v>
      </c>
      <c r="AR297" s="31">
        <f>3800*0.85</f>
        <v>3230</v>
      </c>
      <c r="AS297" s="31">
        <f>3800*0.85-2730</f>
        <v>500</v>
      </c>
      <c r="AT297" s="31"/>
      <c r="AU297" s="31"/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9"/>
      <c r="BM297" s="31"/>
      <c r="BN297" s="31"/>
      <c r="BO297" s="31"/>
      <c r="BP297" s="31"/>
      <c r="BQ297" s="31"/>
      <c r="BR297" s="31"/>
      <c r="BS297" s="31"/>
      <c r="BT297" s="31"/>
      <c r="BU297" s="31"/>
      <c r="BV297" s="31"/>
      <c r="BW297" s="31"/>
      <c r="BX297" s="31"/>
      <c r="BY297" s="31"/>
      <c r="BZ297" s="31"/>
      <c r="CA297" s="31"/>
      <c r="CB297" s="31"/>
      <c r="CC297" s="31"/>
      <c r="CD297" s="31"/>
      <c r="CE297" s="31"/>
      <c r="CF297" s="31"/>
      <c r="CG297" s="31"/>
      <c r="CH297" s="31"/>
      <c r="CI297" s="31"/>
      <c r="CJ297" s="31"/>
      <c r="CK297" s="31"/>
      <c r="CL297" s="31">
        <f>13*20+2*20</f>
        <v>300</v>
      </c>
      <c r="CM297" s="31">
        <v>400</v>
      </c>
      <c r="CN297" s="31">
        <v>400</v>
      </c>
      <c r="CO297" s="31">
        <f>400-75</f>
        <v>325</v>
      </c>
      <c r="CP297" s="31">
        <f>400-180</f>
        <v>220</v>
      </c>
      <c r="CQ297" s="31">
        <f>400-400</f>
        <v>0</v>
      </c>
      <c r="CR297" s="31"/>
      <c r="CS297" s="31"/>
      <c r="CT297" s="31"/>
      <c r="CU297" s="31"/>
      <c r="CV297" s="31"/>
      <c r="CW297" s="31"/>
      <c r="CX297" s="180"/>
      <c r="CY297" s="31"/>
      <c r="CZ297" s="31"/>
      <c r="DA297" s="31"/>
      <c r="DB297" s="31"/>
      <c r="DC297" s="31"/>
      <c r="DD297" s="31"/>
      <c r="DE297" s="31"/>
      <c r="DF297" s="31"/>
      <c r="DG297" s="31"/>
      <c r="DH297" s="31"/>
      <c r="DI297" s="31"/>
      <c r="DJ297" s="31"/>
      <c r="DK297" s="31"/>
      <c r="DL297" s="182"/>
      <c r="DM297" s="182"/>
      <c r="DN297" s="182"/>
      <c r="DO297" s="182"/>
      <c r="DP297" s="182"/>
      <c r="DQ297" s="182"/>
      <c r="DR297" s="31"/>
      <c r="DS297" s="31"/>
      <c r="DT297" s="31"/>
      <c r="DU297" s="31"/>
      <c r="DV297" s="31"/>
      <c r="DW297" s="31"/>
      <c r="DX297" s="31"/>
      <c r="DY297" s="31"/>
      <c r="DZ297" s="31"/>
      <c r="EA297" s="31"/>
      <c r="EB297" s="31"/>
      <c r="EC297" s="31"/>
      <c r="ED297" s="31"/>
      <c r="EE297" s="31"/>
      <c r="EF297" s="31"/>
      <c r="EG297" s="31"/>
      <c r="EH297" s="31"/>
      <c r="EI297" s="31"/>
      <c r="EJ297" s="28"/>
    </row>
    <row r="298" spans="1:140" s="32" customFormat="1" ht="22.5" customHeight="1">
      <c r="A298" s="59">
        <v>98</v>
      </c>
      <c r="B298" s="52" t="s">
        <v>64</v>
      </c>
      <c r="C298" s="51" t="s">
        <v>79</v>
      </c>
      <c r="D298" s="50">
        <f>1200+600</f>
        <v>1800</v>
      </c>
      <c r="E298" s="80" t="s">
        <v>80</v>
      </c>
      <c r="F298" s="52" t="s">
        <v>3</v>
      </c>
      <c r="G298" s="141">
        <f>2500*6-2500*2-2000-2000</f>
        <v>6000</v>
      </c>
      <c r="H298" s="52" t="s">
        <v>3</v>
      </c>
      <c r="I298" s="89">
        <f>400*4-45-400-400</f>
        <v>755</v>
      </c>
      <c r="J298" s="52" t="s">
        <v>65</v>
      </c>
      <c r="K298" s="30">
        <f>400*3</f>
        <v>1200</v>
      </c>
      <c r="L298" s="29">
        <f t="shared" si="117"/>
        <v>9755</v>
      </c>
      <c r="M298" s="29">
        <f>SUM(O298:DS298)</f>
        <v>6755</v>
      </c>
      <c r="N298" s="29">
        <f t="shared" si="118"/>
        <v>3000</v>
      </c>
      <c r="O298" s="29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>
        <f>2500-2500</f>
        <v>0</v>
      </c>
      <c r="AO298" s="31">
        <f>2500-2500</f>
        <v>0</v>
      </c>
      <c r="AP298" s="31">
        <v>2500</v>
      </c>
      <c r="AQ298" s="31">
        <v>2500</v>
      </c>
      <c r="AR298" s="31">
        <f>2500-2000</f>
        <v>500</v>
      </c>
      <c r="AS298" s="31">
        <f>2500-2000</f>
        <v>500</v>
      </c>
      <c r="AT298" s="31"/>
      <c r="AU298" s="31"/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9"/>
      <c r="BM298" s="31"/>
      <c r="BN298" s="31"/>
      <c r="BO298" s="31"/>
      <c r="BP298" s="31"/>
      <c r="BQ298" s="31"/>
      <c r="BR298" s="31"/>
      <c r="BS298" s="31"/>
      <c r="BT298" s="31"/>
      <c r="BU298" s="31"/>
      <c r="BV298" s="31"/>
      <c r="BW298" s="31"/>
      <c r="BX298" s="31"/>
      <c r="BY298" s="31"/>
      <c r="BZ298" s="31"/>
      <c r="CA298" s="31"/>
      <c r="CB298" s="31"/>
      <c r="CC298" s="31"/>
      <c r="CD298" s="31"/>
      <c r="CE298" s="31"/>
      <c r="CF298" s="31"/>
      <c r="CG298" s="31"/>
      <c r="CH298" s="31"/>
      <c r="CI298" s="31"/>
      <c r="CJ298" s="31"/>
      <c r="CK298" s="31"/>
      <c r="CL298" s="31"/>
      <c r="CM298" s="31"/>
      <c r="CN298" s="31">
        <v>400</v>
      </c>
      <c r="CO298" s="31">
        <f>400-45</f>
        <v>355</v>
      </c>
      <c r="CP298" s="31">
        <f>400-400</f>
        <v>0</v>
      </c>
      <c r="CQ298" s="31">
        <f>400-400</f>
        <v>0</v>
      </c>
      <c r="CR298" s="31"/>
      <c r="CS298" s="31"/>
      <c r="CT298" s="31"/>
      <c r="CU298" s="31"/>
      <c r="CV298" s="31"/>
      <c r="CW298" s="31"/>
      <c r="CX298" s="180"/>
      <c r="CY298" s="31"/>
      <c r="CZ298" s="31"/>
      <c r="DA298" s="31"/>
      <c r="DB298" s="31"/>
      <c r="DC298" s="31"/>
      <c r="DD298" s="31"/>
      <c r="DE298" s="31"/>
      <c r="DF298" s="31"/>
      <c r="DG298" s="31"/>
      <c r="DH298" s="31"/>
      <c r="DI298" s="31"/>
      <c r="DJ298" s="31"/>
      <c r="DK298" s="31"/>
      <c r="DL298" s="182"/>
      <c r="DM298" s="182"/>
      <c r="DN298" s="182"/>
      <c r="DO298" s="182"/>
      <c r="DP298" s="182"/>
      <c r="DQ298" s="182"/>
      <c r="DR298" s="31"/>
      <c r="DS298" s="31"/>
      <c r="DT298" s="31"/>
      <c r="DU298" s="31"/>
      <c r="DV298" s="31"/>
      <c r="DW298" s="31"/>
      <c r="DX298" s="31"/>
      <c r="DY298" s="31"/>
      <c r="DZ298" s="31"/>
      <c r="EA298" s="31">
        <v>400</v>
      </c>
      <c r="EB298" s="31">
        <v>400</v>
      </c>
      <c r="EC298" s="31">
        <v>400</v>
      </c>
      <c r="ED298" s="31"/>
      <c r="EE298" s="31"/>
      <c r="EF298" s="31"/>
      <c r="EG298" s="31"/>
      <c r="EH298" s="31"/>
      <c r="EI298" s="31"/>
      <c r="EJ298" s="28"/>
    </row>
    <row r="299" spans="1:140" ht="18" customHeight="1">
      <c r="A299" s="59">
        <v>99</v>
      </c>
      <c r="B299" s="52" t="s">
        <v>64</v>
      </c>
      <c r="C299" s="51" t="s">
        <v>527</v>
      </c>
      <c r="D299" s="50">
        <f>600+115</f>
        <v>715</v>
      </c>
      <c r="E299" s="79" t="s">
        <v>111</v>
      </c>
      <c r="F299" s="52" t="s">
        <v>113</v>
      </c>
      <c r="G299" s="139">
        <f>2500*6</f>
        <v>15000</v>
      </c>
      <c r="H299" s="52" t="s">
        <v>113</v>
      </c>
      <c r="I299" s="89">
        <f>400+400+400+400+400+400-45-105</f>
        <v>2250</v>
      </c>
      <c r="J299" s="52" t="s">
        <v>113</v>
      </c>
      <c r="K299" s="11">
        <f>400*6</f>
        <v>2400</v>
      </c>
      <c r="L299" s="8">
        <f t="shared" si="117"/>
        <v>20365</v>
      </c>
      <c r="M299" s="29">
        <f>SUM(O299:EC299)</f>
        <v>19650</v>
      </c>
      <c r="N299" s="29">
        <f t="shared" si="118"/>
        <v>715</v>
      </c>
      <c r="O299" s="8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31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>
        <v>2500</v>
      </c>
      <c r="AO299" s="12">
        <v>2500</v>
      </c>
      <c r="AP299" s="12">
        <v>2500</v>
      </c>
      <c r="AQ299" s="12">
        <v>2500</v>
      </c>
      <c r="AR299" s="12">
        <v>2500</v>
      </c>
      <c r="AS299" s="12">
        <v>2500</v>
      </c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39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31"/>
      <c r="CB299" s="31"/>
      <c r="CC299" s="31"/>
      <c r="CD299" s="12"/>
      <c r="CE299" s="12"/>
      <c r="CF299" s="12"/>
      <c r="CG299" s="12"/>
      <c r="CH299" s="12"/>
      <c r="CI299" s="12"/>
      <c r="CJ299" s="12"/>
      <c r="CK299" s="31"/>
      <c r="CL299" s="31">
        <v>400</v>
      </c>
      <c r="CM299" s="31">
        <v>400</v>
      </c>
      <c r="CN299" s="31">
        <v>400</v>
      </c>
      <c r="CO299" s="31">
        <f>400-45</f>
        <v>355</v>
      </c>
      <c r="CP299" s="31">
        <f>400-105</f>
        <v>295</v>
      </c>
      <c r="CQ299" s="31">
        <v>400</v>
      </c>
      <c r="CR299" s="12"/>
      <c r="CS299" s="12"/>
      <c r="CT299" s="12"/>
      <c r="CU299" s="12"/>
      <c r="CV299" s="12"/>
      <c r="CW299" s="12"/>
      <c r="CX299" s="180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81"/>
      <c r="DM299" s="181"/>
      <c r="DN299" s="181"/>
      <c r="DO299" s="181"/>
      <c r="DP299" s="181"/>
      <c r="DQ299" s="181"/>
      <c r="DR299" s="12"/>
      <c r="DS299" s="12"/>
      <c r="DT299" s="12"/>
      <c r="DU299" s="12"/>
      <c r="DV299" s="12"/>
      <c r="DW299" s="12"/>
      <c r="DX299" s="12">
        <v>400</v>
      </c>
      <c r="DY299" s="12">
        <v>400</v>
      </c>
      <c r="DZ299" s="12">
        <v>400</v>
      </c>
      <c r="EA299" s="12">
        <v>400</v>
      </c>
      <c r="EB299" s="12">
        <v>400</v>
      </c>
      <c r="EC299" s="12">
        <v>400</v>
      </c>
      <c r="ED299" s="31"/>
      <c r="EE299" s="12"/>
      <c r="EF299" s="12"/>
      <c r="EG299" s="12"/>
      <c r="EH299" s="12"/>
      <c r="EI299" s="12"/>
      <c r="EJ299" s="23"/>
    </row>
    <row r="300" spans="1:140" s="32" customFormat="1" ht="22.5" customHeight="1">
      <c r="A300" s="59">
        <v>100</v>
      </c>
      <c r="B300" s="52" t="s">
        <v>64</v>
      </c>
      <c r="C300" s="51" t="s">
        <v>114</v>
      </c>
      <c r="D300" s="50">
        <f>1200+600</f>
        <v>1800</v>
      </c>
      <c r="E300" s="80" t="s">
        <v>309</v>
      </c>
      <c r="F300" s="52" t="s">
        <v>113</v>
      </c>
      <c r="G300" s="141">
        <f>3500*6-1750</f>
        <v>19250</v>
      </c>
      <c r="H300" s="52" t="s">
        <v>113</v>
      </c>
      <c r="I300" s="89">
        <f>400*6-120-75-135-225-75</f>
        <v>1770</v>
      </c>
      <c r="J300" s="52" t="s">
        <v>113</v>
      </c>
      <c r="K300" s="30">
        <f>400*6</f>
        <v>2400</v>
      </c>
      <c r="L300" s="29">
        <f t="shared" si="117"/>
        <v>25220</v>
      </c>
      <c r="M300" s="29">
        <f>SUM(O300:EC300)</f>
        <v>23420</v>
      </c>
      <c r="N300" s="29">
        <f t="shared" si="118"/>
        <v>1800</v>
      </c>
      <c r="O300" s="29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>
        <v>3500</v>
      </c>
      <c r="AO300" s="31">
        <v>3500</v>
      </c>
      <c r="AP300" s="31">
        <v>3500</v>
      </c>
      <c r="AQ300" s="31">
        <f>3500-1750</f>
        <v>1750</v>
      </c>
      <c r="AR300" s="31">
        <v>3500</v>
      </c>
      <c r="AS300" s="31">
        <v>3500</v>
      </c>
      <c r="AT300" s="31"/>
      <c r="AU300" s="31"/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9"/>
      <c r="BM300" s="31"/>
      <c r="BN300" s="31"/>
      <c r="BO300" s="31"/>
      <c r="BP300" s="31"/>
      <c r="BQ300" s="31"/>
      <c r="BR300" s="31"/>
      <c r="BS300" s="31"/>
      <c r="BT300" s="31"/>
      <c r="BU300" s="31"/>
      <c r="BV300" s="31"/>
      <c r="BW300" s="31"/>
      <c r="BX300" s="31"/>
      <c r="BY300" s="31"/>
      <c r="BZ300" s="31"/>
      <c r="CA300" s="31"/>
      <c r="CB300" s="31"/>
      <c r="CC300" s="31"/>
      <c r="CD300" s="31"/>
      <c r="CE300" s="31"/>
      <c r="CF300" s="31"/>
      <c r="CG300" s="31"/>
      <c r="CH300" s="31"/>
      <c r="CI300" s="31"/>
      <c r="CJ300" s="31"/>
      <c r="CK300" s="31"/>
      <c r="CL300" s="31">
        <f>400-120</f>
        <v>280</v>
      </c>
      <c r="CM300" s="31">
        <f>400-75</f>
        <v>325</v>
      </c>
      <c r="CN300" s="31">
        <f>400-135</f>
        <v>265</v>
      </c>
      <c r="CO300" s="31">
        <f>400-225</f>
        <v>175</v>
      </c>
      <c r="CP300" s="31">
        <f>400-75</f>
        <v>325</v>
      </c>
      <c r="CQ300" s="31">
        <v>400</v>
      </c>
      <c r="CR300" s="31"/>
      <c r="CS300" s="31"/>
      <c r="CT300" s="31"/>
      <c r="CU300" s="31"/>
      <c r="CV300" s="31"/>
      <c r="CW300" s="31"/>
      <c r="CX300" s="180"/>
      <c r="CY300" s="31"/>
      <c r="CZ300" s="31"/>
      <c r="DA300" s="31"/>
      <c r="DB300" s="31"/>
      <c r="DC300" s="31"/>
      <c r="DD300" s="31"/>
      <c r="DE300" s="31"/>
      <c r="DF300" s="31"/>
      <c r="DG300" s="31"/>
      <c r="DH300" s="31"/>
      <c r="DI300" s="31"/>
      <c r="DJ300" s="31"/>
      <c r="DK300" s="31"/>
      <c r="DL300" s="182"/>
      <c r="DM300" s="182"/>
      <c r="DN300" s="182"/>
      <c r="DO300" s="182"/>
      <c r="DP300" s="182"/>
      <c r="DQ300" s="182"/>
      <c r="DR300" s="31"/>
      <c r="DS300" s="31"/>
      <c r="DT300" s="31"/>
      <c r="DU300" s="31"/>
      <c r="DV300" s="31"/>
      <c r="DW300" s="31"/>
      <c r="DX300" s="31">
        <v>400</v>
      </c>
      <c r="DY300" s="31">
        <v>400</v>
      </c>
      <c r="DZ300" s="31">
        <v>400</v>
      </c>
      <c r="EA300" s="31">
        <v>400</v>
      </c>
      <c r="EB300" s="31">
        <v>400</v>
      </c>
      <c r="EC300" s="31">
        <v>400</v>
      </c>
      <c r="ED300" s="31"/>
      <c r="EE300" s="31"/>
      <c r="EF300" s="31"/>
      <c r="EG300" s="31"/>
      <c r="EH300" s="31"/>
      <c r="EI300" s="31"/>
      <c r="EJ300" s="28"/>
    </row>
    <row r="301" spans="1:140" s="32" customFormat="1" ht="22.5" customHeight="1">
      <c r="A301" s="59">
        <v>101</v>
      </c>
      <c r="B301" s="52" t="s">
        <v>64</v>
      </c>
      <c r="C301" s="51" t="s">
        <v>225</v>
      </c>
      <c r="D301" s="50">
        <f>1200+600+480</f>
        <v>2280</v>
      </c>
      <c r="E301" s="80" t="s">
        <v>423</v>
      </c>
      <c r="F301" s="52" t="s">
        <v>351</v>
      </c>
      <c r="G301" s="141">
        <f>5000*6*0.85+5000-2125-3250</f>
        <v>25125</v>
      </c>
      <c r="H301" s="52" t="s">
        <v>351</v>
      </c>
      <c r="I301" s="89">
        <f>400+400*5+400-60-60-120-240-400</f>
        <v>1920</v>
      </c>
      <c r="J301" s="52"/>
      <c r="K301" s="30"/>
      <c r="L301" s="29">
        <f t="shared" si="117"/>
        <v>29325</v>
      </c>
      <c r="M301" s="29">
        <f>SUM(O301:DS301)</f>
        <v>27000</v>
      </c>
      <c r="N301" s="29">
        <f t="shared" si="118"/>
        <v>2325</v>
      </c>
      <c r="O301" s="29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>
        <f>5000*0.85</f>
        <v>4250</v>
      </c>
      <c r="AO301" s="31">
        <f>5000*0.85</f>
        <v>4250</v>
      </c>
      <c r="AP301" s="31">
        <f>5000*0.85</f>
        <v>4250</v>
      </c>
      <c r="AQ301" s="31">
        <f>5000*0.85</f>
        <v>4250</v>
      </c>
      <c r="AR301" s="31">
        <f>5000*0.85/2</f>
        <v>2125</v>
      </c>
      <c r="AS301" s="31">
        <f>5000*0.85-3250</f>
        <v>1000</v>
      </c>
      <c r="AT301" s="31">
        <v>5000</v>
      </c>
      <c r="AU301" s="31"/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9"/>
      <c r="BM301" s="31"/>
      <c r="BN301" s="31"/>
      <c r="BO301" s="31"/>
      <c r="BP301" s="31"/>
      <c r="BQ301" s="31"/>
      <c r="BR301" s="31"/>
      <c r="BS301" s="31"/>
      <c r="BT301" s="31"/>
      <c r="BU301" s="31"/>
      <c r="BV301" s="31"/>
      <c r="BW301" s="31"/>
      <c r="BX301" s="31"/>
      <c r="BY301" s="31"/>
      <c r="BZ301" s="31"/>
      <c r="CA301" s="31"/>
      <c r="CB301" s="31"/>
      <c r="CC301" s="31"/>
      <c r="CD301" s="31"/>
      <c r="CE301" s="31"/>
      <c r="CF301" s="31"/>
      <c r="CG301" s="31"/>
      <c r="CH301" s="31"/>
      <c r="CI301" s="31"/>
      <c r="CJ301" s="31"/>
      <c r="CK301" s="31"/>
      <c r="CL301" s="31">
        <f>400-60</f>
        <v>340</v>
      </c>
      <c r="CM301" s="31">
        <f>400-60</f>
        <v>340</v>
      </c>
      <c r="CN301" s="31">
        <f>400-120</f>
        <v>280</v>
      </c>
      <c r="CO301" s="31">
        <v>400</v>
      </c>
      <c r="CP301" s="31">
        <f>400-240</f>
        <v>160</v>
      </c>
      <c r="CQ301" s="31">
        <f>400-400</f>
        <v>0</v>
      </c>
      <c r="CR301" s="31">
        <f>400-45</f>
        <v>355</v>
      </c>
      <c r="CS301" s="31"/>
      <c r="CT301" s="31"/>
      <c r="CU301" s="31"/>
      <c r="CV301" s="31"/>
      <c r="CW301" s="31"/>
      <c r="CX301" s="180"/>
      <c r="CY301" s="31"/>
      <c r="CZ301" s="31"/>
      <c r="DA301" s="31"/>
      <c r="DB301" s="31"/>
      <c r="DC301" s="31"/>
      <c r="DD301" s="31"/>
      <c r="DE301" s="31"/>
      <c r="DF301" s="31"/>
      <c r="DG301" s="31"/>
      <c r="DH301" s="31"/>
      <c r="DI301" s="31"/>
      <c r="DJ301" s="31"/>
      <c r="DK301" s="31"/>
      <c r="DL301" s="182"/>
      <c r="DM301" s="182"/>
      <c r="DN301" s="182"/>
      <c r="DO301" s="182"/>
      <c r="DP301" s="182"/>
      <c r="DQ301" s="182"/>
      <c r="DR301" s="31"/>
      <c r="DS301" s="31"/>
      <c r="DT301" s="31"/>
      <c r="DU301" s="31"/>
      <c r="DV301" s="31"/>
      <c r="DW301" s="31"/>
      <c r="DX301" s="31"/>
      <c r="DY301" s="31"/>
      <c r="DZ301" s="31"/>
      <c r="EA301" s="31"/>
      <c r="EB301" s="31"/>
      <c r="EC301" s="31"/>
      <c r="ED301" s="31"/>
      <c r="EE301" s="31"/>
      <c r="EF301" s="31"/>
      <c r="EG301" s="31"/>
      <c r="EH301" s="31"/>
      <c r="EI301" s="31"/>
      <c r="EJ301" s="28"/>
    </row>
    <row r="302" spans="1:140" s="32" customFormat="1" ht="22.5" customHeight="1">
      <c r="A302" s="59">
        <v>102</v>
      </c>
      <c r="B302" s="52" t="s">
        <v>64</v>
      </c>
      <c r="C302" s="51" t="s">
        <v>591</v>
      </c>
      <c r="D302" s="50"/>
      <c r="E302" s="80" t="s">
        <v>592</v>
      </c>
      <c r="F302" s="52" t="s">
        <v>89</v>
      </c>
      <c r="G302" s="141">
        <f>3800*6*0.85-3230*6</f>
        <v>0</v>
      </c>
      <c r="H302" s="52"/>
      <c r="I302" s="98"/>
      <c r="J302" s="52"/>
      <c r="K302" s="30"/>
      <c r="L302" s="29">
        <f t="shared" si="117"/>
        <v>0</v>
      </c>
      <c r="M302" s="29">
        <f>SUM(O302:DS302)</f>
        <v>0</v>
      </c>
      <c r="N302" s="29">
        <f t="shared" si="118"/>
        <v>0</v>
      </c>
      <c r="O302" s="29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>
        <f>3800*0.85-3230</f>
        <v>0</v>
      </c>
      <c r="BA302" s="31">
        <f t="shared" ref="BA302:BE302" si="132">3800*0.85-3230</f>
        <v>0</v>
      </c>
      <c r="BB302" s="31">
        <f t="shared" si="132"/>
        <v>0</v>
      </c>
      <c r="BC302" s="31">
        <f t="shared" si="132"/>
        <v>0</v>
      </c>
      <c r="BD302" s="31">
        <f t="shared" si="132"/>
        <v>0</v>
      </c>
      <c r="BE302" s="31">
        <f t="shared" si="132"/>
        <v>0</v>
      </c>
      <c r="BF302" s="31"/>
      <c r="BG302" s="31"/>
      <c r="BH302" s="31"/>
      <c r="BI302" s="31"/>
      <c r="BJ302" s="31"/>
      <c r="BK302" s="31"/>
      <c r="BL302" s="39"/>
      <c r="BM302" s="31"/>
      <c r="BN302" s="31"/>
      <c r="BO302" s="31"/>
      <c r="BP302" s="31"/>
      <c r="BQ302" s="31"/>
      <c r="BR302" s="31"/>
      <c r="BS302" s="31"/>
      <c r="BT302" s="31"/>
      <c r="BU302" s="31"/>
      <c r="BV302" s="31"/>
      <c r="BW302" s="31"/>
      <c r="BX302" s="31"/>
      <c r="BY302" s="31"/>
      <c r="BZ302" s="31"/>
      <c r="CA302" s="31"/>
      <c r="CB302" s="31"/>
      <c r="CC302" s="31"/>
      <c r="CD302" s="31"/>
      <c r="CE302" s="31"/>
      <c r="CF302" s="31"/>
      <c r="CG302" s="31"/>
      <c r="CH302" s="31"/>
      <c r="CI302" s="31"/>
      <c r="CJ302" s="31"/>
      <c r="CK302" s="31"/>
      <c r="CL302" s="31"/>
      <c r="CM302" s="31"/>
      <c r="CN302" s="31"/>
      <c r="CO302" s="31"/>
      <c r="CP302" s="31"/>
      <c r="CQ302" s="31"/>
      <c r="CR302" s="31"/>
      <c r="CS302" s="31"/>
      <c r="CT302" s="31"/>
      <c r="CU302" s="31"/>
      <c r="CV302" s="31"/>
      <c r="CW302" s="31"/>
      <c r="CX302" s="180"/>
      <c r="CY302" s="31"/>
      <c r="CZ302" s="31"/>
      <c r="DA302" s="31"/>
      <c r="DB302" s="31"/>
      <c r="DC302" s="31"/>
      <c r="DD302" s="31"/>
      <c r="DE302" s="31"/>
      <c r="DF302" s="31"/>
      <c r="DG302" s="31"/>
      <c r="DH302" s="31"/>
      <c r="DI302" s="31"/>
      <c r="DJ302" s="31"/>
      <c r="DK302" s="31"/>
      <c r="DL302" s="182"/>
      <c r="DM302" s="182"/>
      <c r="DN302" s="182"/>
      <c r="DO302" s="182"/>
      <c r="DP302" s="182"/>
      <c r="DQ302" s="182"/>
      <c r="DR302" s="31"/>
      <c r="DS302" s="31"/>
      <c r="DT302" s="31"/>
      <c r="DU302" s="31"/>
      <c r="DV302" s="31"/>
      <c r="DW302" s="31"/>
      <c r="DX302" s="31"/>
      <c r="DY302" s="31"/>
      <c r="DZ302" s="31"/>
      <c r="EA302" s="31"/>
      <c r="EB302" s="31"/>
      <c r="EC302" s="31"/>
      <c r="ED302" s="31"/>
      <c r="EE302" s="31"/>
      <c r="EF302" s="31"/>
      <c r="EG302" s="31"/>
      <c r="EH302" s="31"/>
      <c r="EI302" s="31"/>
      <c r="EJ302" s="28"/>
    </row>
    <row r="303" spans="1:140" s="32" customFormat="1" ht="22.5" customHeight="1">
      <c r="A303" s="59">
        <v>103</v>
      </c>
      <c r="B303" s="52" t="s">
        <v>64</v>
      </c>
      <c r="C303" s="51" t="s">
        <v>230</v>
      </c>
      <c r="D303" s="50"/>
      <c r="E303" s="80" t="s">
        <v>229</v>
      </c>
      <c r="F303" s="52" t="s">
        <v>89</v>
      </c>
      <c r="G303" s="141">
        <f>5000*6-1800-28200</f>
        <v>0</v>
      </c>
      <c r="H303" s="52"/>
      <c r="I303" s="98"/>
      <c r="J303" s="52"/>
      <c r="K303" s="30"/>
      <c r="L303" s="29">
        <f t="shared" si="117"/>
        <v>0</v>
      </c>
      <c r="M303" s="29">
        <f>SUM(O303:DS303)</f>
        <v>0</v>
      </c>
      <c r="N303" s="29">
        <f t="shared" si="118"/>
        <v>0</v>
      </c>
      <c r="O303" s="29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>
        <f>5000-300-4700</f>
        <v>0</v>
      </c>
      <c r="AU303" s="31">
        <f>5000-300-4700</f>
        <v>0</v>
      </c>
      <c r="AV303" s="31">
        <f>5000-5000</f>
        <v>0</v>
      </c>
      <c r="AW303" s="31">
        <f>5000-5000</f>
        <v>0</v>
      </c>
      <c r="AX303" s="31">
        <f>5000-5000</f>
        <v>0</v>
      </c>
      <c r="AY303" s="31">
        <f>5000-5000</f>
        <v>0</v>
      </c>
      <c r="AZ303" s="31">
        <f>5000-1800-3200</f>
        <v>0</v>
      </c>
      <c r="BA303" s="31">
        <f>5000-5000</f>
        <v>0</v>
      </c>
      <c r="BB303" s="31">
        <f t="shared" ref="BB303:BE303" si="133">5000-5000</f>
        <v>0</v>
      </c>
      <c r="BC303" s="31">
        <f t="shared" si="133"/>
        <v>0</v>
      </c>
      <c r="BD303" s="31">
        <f t="shared" si="133"/>
        <v>0</v>
      </c>
      <c r="BE303" s="31">
        <f t="shared" si="133"/>
        <v>0</v>
      </c>
      <c r="BF303" s="31"/>
      <c r="BG303" s="31"/>
      <c r="BH303" s="31"/>
      <c r="BI303" s="31"/>
      <c r="BJ303" s="31"/>
      <c r="BK303" s="31"/>
      <c r="BL303" s="39"/>
      <c r="BM303" s="31"/>
      <c r="BN303" s="31"/>
      <c r="BO303" s="31"/>
      <c r="BP303" s="31"/>
      <c r="BQ303" s="31"/>
      <c r="BR303" s="31"/>
      <c r="BS303" s="31"/>
      <c r="BT303" s="31"/>
      <c r="BU303" s="31"/>
      <c r="BV303" s="31"/>
      <c r="BW303" s="31"/>
      <c r="BX303" s="31"/>
      <c r="BY303" s="31"/>
      <c r="BZ303" s="31"/>
      <c r="CA303" s="31"/>
      <c r="CB303" s="31"/>
      <c r="CC303" s="31"/>
      <c r="CD303" s="31"/>
      <c r="CE303" s="31"/>
      <c r="CF303" s="31"/>
      <c r="CG303" s="31"/>
      <c r="CH303" s="31"/>
      <c r="CI303" s="31"/>
      <c r="CJ303" s="31"/>
      <c r="CK303" s="31"/>
      <c r="CL303" s="31"/>
      <c r="CM303" s="31"/>
      <c r="CN303" s="31"/>
      <c r="CO303" s="31"/>
      <c r="CP303" s="31"/>
      <c r="CQ303" s="31"/>
      <c r="CR303" s="31"/>
      <c r="CS303" s="31"/>
      <c r="CT303" s="31"/>
      <c r="CU303" s="31"/>
      <c r="CV303" s="31"/>
      <c r="CW303" s="31"/>
      <c r="CX303" s="180"/>
      <c r="CY303" s="31"/>
      <c r="CZ303" s="31"/>
      <c r="DA303" s="31"/>
      <c r="DB303" s="31"/>
      <c r="DC303" s="31"/>
      <c r="DD303" s="31"/>
      <c r="DE303" s="31"/>
      <c r="DF303" s="31"/>
      <c r="DG303" s="31"/>
      <c r="DH303" s="31"/>
      <c r="DI303" s="31"/>
      <c r="DJ303" s="31"/>
      <c r="DK303" s="31"/>
      <c r="DL303" s="182"/>
      <c r="DM303" s="182"/>
      <c r="DN303" s="182"/>
      <c r="DO303" s="182"/>
      <c r="DP303" s="182"/>
      <c r="DQ303" s="182"/>
      <c r="DR303" s="31"/>
      <c r="DS303" s="31"/>
      <c r="DT303" s="31"/>
      <c r="DU303" s="31"/>
      <c r="DV303" s="31"/>
      <c r="DW303" s="31"/>
      <c r="DX303" s="31"/>
      <c r="DY303" s="31"/>
      <c r="DZ303" s="31"/>
      <c r="EA303" s="31"/>
      <c r="EB303" s="31"/>
      <c r="EC303" s="31"/>
      <c r="ED303" s="31"/>
      <c r="EE303" s="31"/>
      <c r="EF303" s="31"/>
      <c r="EG303" s="31"/>
      <c r="EH303" s="31"/>
      <c r="EI303" s="31"/>
      <c r="EJ303" s="28"/>
    </row>
    <row r="304" spans="1:140" s="32" customFormat="1" ht="22.5" customHeight="1">
      <c r="A304" s="59">
        <v>104</v>
      </c>
      <c r="B304" s="52" t="s">
        <v>64</v>
      </c>
      <c r="C304" s="51" t="s">
        <v>71</v>
      </c>
      <c r="D304" s="50">
        <f t="shared" si="11"/>
        <v>2700</v>
      </c>
      <c r="E304" s="80" t="s">
        <v>108</v>
      </c>
      <c r="F304" s="52" t="s">
        <v>74</v>
      </c>
      <c r="G304" s="141">
        <f>3500*6+3500*6-3000-3000+3500*6-3000-3000-3500*3</f>
        <v>40500</v>
      </c>
      <c r="H304" s="52" t="s">
        <v>109</v>
      </c>
      <c r="I304" s="89">
        <f>300+300+300+300+300*3+300+300*6-45-60-300*3</f>
        <v>3195</v>
      </c>
      <c r="J304" s="52" t="s">
        <v>110</v>
      </c>
      <c r="K304" s="8">
        <f>400*2+400*2+400*3+400+400*3-200-200</f>
        <v>4000</v>
      </c>
      <c r="L304" s="29">
        <f t="shared" si="117"/>
        <v>50395</v>
      </c>
      <c r="M304" s="29">
        <f>SUM(O304:EI304)</f>
        <v>47695</v>
      </c>
      <c r="N304" s="29">
        <f t="shared" si="118"/>
        <v>2700</v>
      </c>
      <c r="O304" s="29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>
        <v>3500</v>
      </c>
      <c r="AI304" s="31">
        <v>3500</v>
      </c>
      <c r="AJ304" s="31">
        <v>3500</v>
      </c>
      <c r="AK304" s="31">
        <v>3500</v>
      </c>
      <c r="AL304" s="31">
        <f>3500-3000</f>
        <v>500</v>
      </c>
      <c r="AM304" s="31">
        <f>3500-3000</f>
        <v>500</v>
      </c>
      <c r="AN304" s="31">
        <v>3500</v>
      </c>
      <c r="AO304" s="31">
        <v>3500</v>
      </c>
      <c r="AP304" s="31">
        <v>3500</v>
      </c>
      <c r="AQ304" s="31">
        <v>3500</v>
      </c>
      <c r="AR304" s="31">
        <f>3500-3000</f>
        <v>500</v>
      </c>
      <c r="AS304" s="31">
        <f>3500-3000</f>
        <v>500</v>
      </c>
      <c r="AT304" s="31">
        <v>3500</v>
      </c>
      <c r="AU304" s="31">
        <v>3500</v>
      </c>
      <c r="AV304" s="31">
        <v>3500</v>
      </c>
      <c r="AW304" s="31">
        <f>3500-3500</f>
        <v>0</v>
      </c>
      <c r="AX304" s="31">
        <f t="shared" ref="AX304:AY304" si="134">3500-3500</f>
        <v>0</v>
      </c>
      <c r="AY304" s="31">
        <f t="shared" si="134"/>
        <v>0</v>
      </c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9"/>
      <c r="BM304" s="31"/>
      <c r="BN304" s="31"/>
      <c r="BO304" s="31"/>
      <c r="BP304" s="31"/>
      <c r="BQ304" s="31"/>
      <c r="BR304" s="31"/>
      <c r="BS304" s="31"/>
      <c r="BT304" s="31"/>
      <c r="BU304" s="31"/>
      <c r="BV304" s="31"/>
      <c r="BW304" s="31"/>
      <c r="BX304" s="31"/>
      <c r="BY304" s="31"/>
      <c r="BZ304" s="31"/>
      <c r="CA304" s="31"/>
      <c r="CB304" s="31"/>
      <c r="CC304" s="31"/>
      <c r="CD304" s="31"/>
      <c r="CE304" s="31"/>
      <c r="CF304" s="31">
        <v>300</v>
      </c>
      <c r="CG304" s="31">
        <v>300</v>
      </c>
      <c r="CH304" s="31">
        <v>300</v>
      </c>
      <c r="CI304" s="31">
        <v>300</v>
      </c>
      <c r="CJ304" s="31"/>
      <c r="CK304" s="31"/>
      <c r="CL304" s="31">
        <v>300</v>
      </c>
      <c r="CM304" s="31">
        <v>300</v>
      </c>
      <c r="CN304" s="31">
        <v>300</v>
      </c>
      <c r="CO304" s="31">
        <f>300-45</f>
        <v>255</v>
      </c>
      <c r="CP304" s="31"/>
      <c r="CQ304" s="31"/>
      <c r="CR304" s="31">
        <v>300</v>
      </c>
      <c r="CS304" s="31">
        <v>300</v>
      </c>
      <c r="CT304" s="31">
        <f>300-60</f>
        <v>240</v>
      </c>
      <c r="CU304" s="31">
        <f>300-300</f>
        <v>0</v>
      </c>
      <c r="CV304" s="31">
        <f t="shared" ref="CV304:CW304" si="135">300-300</f>
        <v>0</v>
      </c>
      <c r="CW304" s="31">
        <f t="shared" si="135"/>
        <v>0</v>
      </c>
      <c r="CX304" s="180"/>
      <c r="CY304" s="31"/>
      <c r="CZ304" s="31"/>
      <c r="DA304" s="31"/>
      <c r="DB304" s="31"/>
      <c r="DC304" s="31"/>
      <c r="DD304" s="31"/>
      <c r="DE304" s="31"/>
      <c r="DF304" s="31"/>
      <c r="DG304" s="31"/>
      <c r="DH304" s="31"/>
      <c r="DI304" s="31"/>
      <c r="DJ304" s="31"/>
      <c r="DK304" s="31"/>
      <c r="DL304" s="182"/>
      <c r="DM304" s="182"/>
      <c r="DN304" s="182"/>
      <c r="DO304" s="182"/>
      <c r="DP304" s="182"/>
      <c r="DQ304" s="182"/>
      <c r="DR304" s="31">
        <v>400</v>
      </c>
      <c r="DS304" s="31">
        <v>400</v>
      </c>
      <c r="DT304" s="31">
        <v>400</v>
      </c>
      <c r="DU304" s="31">
        <v>400</v>
      </c>
      <c r="DV304" s="31"/>
      <c r="DW304" s="31"/>
      <c r="DX304" s="31">
        <v>400</v>
      </c>
      <c r="DY304" s="31">
        <v>400</v>
      </c>
      <c r="DZ304" s="31">
        <v>400</v>
      </c>
      <c r="EA304" s="31">
        <v>400</v>
      </c>
      <c r="EB304" s="31"/>
      <c r="EC304" s="31"/>
      <c r="ED304" s="31">
        <v>400</v>
      </c>
      <c r="EE304" s="31">
        <f>400-200</f>
        <v>200</v>
      </c>
      <c r="EF304" s="31">
        <f>400-200</f>
        <v>200</v>
      </c>
      <c r="EG304" s="31"/>
      <c r="EH304" s="31"/>
      <c r="EI304" s="31"/>
      <c r="EJ304" s="28"/>
    </row>
    <row r="305" spans="1:140" ht="22.5" customHeight="1">
      <c r="A305" s="52"/>
      <c r="B305" s="59"/>
      <c r="C305" s="54"/>
      <c r="D305" s="89"/>
      <c r="E305" s="79"/>
      <c r="F305" s="59"/>
      <c r="G305" s="142"/>
      <c r="H305" s="52"/>
      <c r="I305" s="89"/>
      <c r="J305" s="52"/>
      <c r="K305" s="11"/>
      <c r="L305" s="8"/>
      <c r="M305" s="8"/>
      <c r="N305" s="8"/>
      <c r="O305" s="8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31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39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31"/>
      <c r="CB305" s="31"/>
      <c r="CC305" s="31"/>
      <c r="CD305" s="12"/>
      <c r="CE305" s="12"/>
      <c r="CF305" s="12"/>
      <c r="CG305" s="12"/>
      <c r="CH305" s="12"/>
      <c r="CI305" s="12"/>
      <c r="CJ305" s="12"/>
      <c r="CK305" s="31"/>
      <c r="CL305" s="31"/>
      <c r="CM305" s="31"/>
      <c r="CN305" s="31"/>
      <c r="CO305" s="12"/>
      <c r="CP305" s="12"/>
      <c r="CQ305" s="12"/>
      <c r="CR305" s="12"/>
      <c r="CS305" s="12"/>
      <c r="CT305" s="12"/>
      <c r="CU305" s="12"/>
      <c r="CV305" s="12"/>
      <c r="CW305" s="12"/>
      <c r="CX305" s="180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81"/>
      <c r="DM305" s="181"/>
      <c r="DN305" s="181"/>
      <c r="DO305" s="181"/>
      <c r="DP305" s="181"/>
      <c r="DQ305" s="181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31"/>
      <c r="EE305" s="12"/>
      <c r="EF305" s="12"/>
      <c r="EG305" s="12"/>
      <c r="EH305" s="12"/>
      <c r="EI305" s="12"/>
      <c r="EJ305" s="23"/>
    </row>
    <row r="306" spans="1:140" ht="22.5" customHeight="1">
      <c r="A306" s="52"/>
      <c r="B306" s="59"/>
      <c r="C306" s="54"/>
      <c r="D306" s="89"/>
      <c r="E306" s="79"/>
      <c r="F306" s="59"/>
      <c r="G306" s="142"/>
      <c r="H306" s="52"/>
      <c r="I306" s="89"/>
      <c r="J306" s="52"/>
      <c r="K306" s="11"/>
      <c r="L306" s="8"/>
      <c r="M306" s="8"/>
      <c r="N306" s="8"/>
      <c r="O306" s="8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31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39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31"/>
      <c r="CB306" s="31"/>
      <c r="CC306" s="31"/>
      <c r="CD306" s="12"/>
      <c r="CE306" s="12"/>
      <c r="CF306" s="12"/>
      <c r="CG306" s="12"/>
      <c r="CH306" s="12"/>
      <c r="CI306" s="12"/>
      <c r="CJ306" s="12"/>
      <c r="CK306" s="31"/>
      <c r="CL306" s="31"/>
      <c r="CM306" s="31"/>
      <c r="CN306" s="31"/>
      <c r="CO306" s="12"/>
      <c r="CP306" s="12"/>
      <c r="CQ306" s="12"/>
      <c r="CR306" s="12"/>
      <c r="CS306" s="12"/>
      <c r="CT306" s="12"/>
      <c r="CU306" s="12"/>
      <c r="CV306" s="12"/>
      <c r="CW306" s="12"/>
      <c r="CX306" s="180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81"/>
      <c r="DM306" s="181"/>
      <c r="DN306" s="181"/>
      <c r="DO306" s="181"/>
      <c r="DP306" s="181"/>
      <c r="DQ306" s="181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31"/>
      <c r="EE306" s="12"/>
      <c r="EF306" s="12"/>
      <c r="EG306" s="12"/>
      <c r="EH306" s="12"/>
      <c r="EI306" s="12"/>
      <c r="EJ306" s="23"/>
    </row>
    <row r="307" spans="1:140" ht="22.5" customHeight="1">
      <c r="A307" s="52"/>
      <c r="B307" s="52"/>
      <c r="C307" s="54"/>
      <c r="D307" s="89"/>
      <c r="E307" s="79"/>
      <c r="F307" s="59"/>
      <c r="G307" s="142"/>
      <c r="H307" s="52"/>
      <c r="I307" s="89"/>
      <c r="J307" s="52"/>
      <c r="K307" s="11"/>
      <c r="L307" s="8"/>
      <c r="M307" s="8"/>
      <c r="N307" s="8"/>
      <c r="O307" s="8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31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39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31"/>
      <c r="CB307" s="31"/>
      <c r="CC307" s="31"/>
      <c r="CD307" s="12"/>
      <c r="CE307" s="12"/>
      <c r="CF307" s="12"/>
      <c r="CG307" s="12"/>
      <c r="CH307" s="12"/>
      <c r="CI307" s="12"/>
      <c r="CJ307" s="12"/>
      <c r="CK307" s="31"/>
      <c r="CL307" s="31"/>
      <c r="CM307" s="31"/>
      <c r="CN307" s="31"/>
      <c r="CO307" s="12"/>
      <c r="CP307" s="12"/>
      <c r="CQ307" s="12"/>
      <c r="CR307" s="12"/>
      <c r="CS307" s="12"/>
      <c r="CT307" s="12"/>
      <c r="CU307" s="12"/>
      <c r="CV307" s="12"/>
      <c r="CW307" s="12"/>
      <c r="CX307" s="180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81"/>
      <c r="DM307" s="181"/>
      <c r="DN307" s="181"/>
      <c r="DO307" s="181"/>
      <c r="DP307" s="181"/>
      <c r="DQ307" s="181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31"/>
      <c r="EE307" s="12"/>
      <c r="EF307" s="12"/>
      <c r="EG307" s="12"/>
      <c r="EH307" s="12"/>
      <c r="EI307" s="12"/>
      <c r="EJ307" s="23"/>
    </row>
    <row r="308" spans="1:140" ht="22.5" customHeight="1">
      <c r="A308" s="59"/>
      <c r="B308" s="59"/>
      <c r="C308" s="54"/>
      <c r="D308" s="89"/>
      <c r="E308" s="79"/>
      <c r="F308" s="59"/>
      <c r="G308" s="142"/>
      <c r="H308" s="52"/>
      <c r="I308" s="89"/>
      <c r="J308" s="52"/>
      <c r="K308" s="11"/>
      <c r="L308" s="8">
        <f>D308+G308+I308+K308</f>
        <v>0</v>
      </c>
      <c r="M308" s="8">
        <f>SUM(O308:DX308)</f>
        <v>0</v>
      </c>
      <c r="N308" s="8">
        <f>L308-M308</f>
        <v>0</v>
      </c>
      <c r="O308" s="8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31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39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31"/>
      <c r="CB308" s="31"/>
      <c r="CC308" s="31"/>
      <c r="CD308" s="12"/>
      <c r="CE308" s="12"/>
      <c r="CF308" s="12"/>
      <c r="CG308" s="12"/>
      <c r="CH308" s="12"/>
      <c r="CI308" s="12"/>
      <c r="CJ308" s="12"/>
      <c r="CK308" s="31"/>
      <c r="CL308" s="31"/>
      <c r="CM308" s="31"/>
      <c r="CN308" s="31"/>
      <c r="CO308" s="12"/>
      <c r="CP308" s="12"/>
      <c r="CQ308" s="12"/>
      <c r="CR308" s="12"/>
      <c r="CS308" s="12"/>
      <c r="CT308" s="12"/>
      <c r="CU308" s="12"/>
      <c r="CV308" s="12"/>
      <c r="CW308" s="12"/>
      <c r="CX308" s="180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81"/>
      <c r="DM308" s="181"/>
      <c r="DN308" s="181"/>
      <c r="DO308" s="181"/>
      <c r="DP308" s="181"/>
      <c r="DQ308" s="181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31"/>
      <c r="EE308" s="12"/>
      <c r="EF308" s="12"/>
      <c r="EG308" s="12"/>
      <c r="EH308" s="12"/>
      <c r="EI308" s="12"/>
      <c r="EJ308" s="23"/>
    </row>
    <row r="309" spans="1:140" ht="18" customHeight="1">
      <c r="A309" s="59"/>
      <c r="B309" s="59"/>
      <c r="C309" s="54"/>
      <c r="D309" s="89"/>
      <c r="E309" s="79"/>
      <c r="F309" s="59"/>
      <c r="G309" s="142"/>
      <c r="H309" s="52"/>
      <c r="I309" s="89"/>
      <c r="J309" s="52"/>
      <c r="K309" s="11"/>
      <c r="L309" s="8">
        <f>D309+G309+I309+K309</f>
        <v>0</v>
      </c>
      <c r="M309" s="8">
        <f>SUM(O309:DX309)</f>
        <v>0</v>
      </c>
      <c r="N309" s="8">
        <f>L309-M309</f>
        <v>0</v>
      </c>
      <c r="O309" s="8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31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39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31"/>
      <c r="CB309" s="31"/>
      <c r="CC309" s="31"/>
      <c r="CD309" s="12"/>
      <c r="CE309" s="12"/>
      <c r="CF309" s="12"/>
      <c r="CG309" s="12"/>
      <c r="CH309" s="12"/>
      <c r="CI309" s="12"/>
      <c r="CJ309" s="12"/>
      <c r="CK309" s="31"/>
      <c r="CL309" s="31"/>
      <c r="CM309" s="31"/>
      <c r="CN309" s="31"/>
      <c r="CO309" s="12"/>
      <c r="CP309" s="12"/>
      <c r="CQ309" s="12"/>
      <c r="CR309" s="12"/>
      <c r="CS309" s="12"/>
      <c r="CT309" s="12"/>
      <c r="CU309" s="12"/>
      <c r="CV309" s="12"/>
      <c r="CW309" s="12"/>
      <c r="CX309" s="180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81"/>
      <c r="DM309" s="181"/>
      <c r="DN309" s="181"/>
      <c r="DO309" s="181"/>
      <c r="DP309" s="181"/>
      <c r="DQ309" s="181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31"/>
      <c r="EE309" s="12"/>
      <c r="EF309" s="12"/>
      <c r="EG309" s="12"/>
      <c r="EH309" s="12"/>
      <c r="EI309" s="12"/>
      <c r="EJ309" s="23"/>
    </row>
    <row r="310" spans="1:140" ht="18" customHeight="1">
      <c r="A310" s="59"/>
      <c r="B310" s="59"/>
      <c r="C310" s="54"/>
      <c r="D310" s="89"/>
      <c r="E310" s="79"/>
      <c r="F310" s="59"/>
      <c r="G310" s="142"/>
      <c r="H310" s="52"/>
      <c r="I310" s="89"/>
      <c r="J310" s="52"/>
      <c r="K310" s="11"/>
      <c r="L310" s="8">
        <f>D310+G310+I310+K310</f>
        <v>0</v>
      </c>
      <c r="M310" s="8">
        <f>SUM(O310:DX310)</f>
        <v>0</v>
      </c>
      <c r="N310" s="8">
        <f>L310-M310</f>
        <v>0</v>
      </c>
      <c r="O310" s="8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31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39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31"/>
      <c r="CB310" s="31"/>
      <c r="CC310" s="31"/>
      <c r="CD310" s="12"/>
      <c r="CE310" s="12"/>
      <c r="CF310" s="12"/>
      <c r="CG310" s="12"/>
      <c r="CH310" s="12"/>
      <c r="CI310" s="12"/>
      <c r="CJ310" s="12"/>
      <c r="CK310" s="31"/>
      <c r="CL310" s="31"/>
      <c r="CM310" s="31"/>
      <c r="CN310" s="31"/>
      <c r="CO310" s="12"/>
      <c r="CP310" s="12"/>
      <c r="CQ310" s="12"/>
      <c r="CR310" s="12"/>
      <c r="CS310" s="12"/>
      <c r="CT310" s="12"/>
      <c r="CU310" s="12"/>
      <c r="CV310" s="12"/>
      <c r="CW310" s="12"/>
      <c r="CX310" s="180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81"/>
      <c r="DM310" s="181"/>
      <c r="DN310" s="181"/>
      <c r="DO310" s="181"/>
      <c r="DP310" s="181"/>
      <c r="DQ310" s="181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31"/>
      <c r="EE310" s="12"/>
      <c r="EF310" s="12"/>
      <c r="EG310" s="12"/>
      <c r="EH310" s="12"/>
      <c r="EI310" s="12"/>
      <c r="EJ310" s="23"/>
    </row>
    <row r="311" spans="1:140" s="7" customFormat="1" ht="18" customHeight="1">
      <c r="A311" s="59"/>
      <c r="B311" s="55"/>
      <c r="C311" s="55" t="s">
        <v>461</v>
      </c>
      <c r="D311" s="87">
        <f>SUM(D3:D310)</f>
        <v>530088</v>
      </c>
      <c r="E311" s="55"/>
      <c r="F311" s="55"/>
      <c r="G311" s="137">
        <f>SUM(G3:G310)</f>
        <v>8501691</v>
      </c>
      <c r="H311" s="104"/>
      <c r="I311" s="87">
        <f>SUM(I3:I310)</f>
        <v>1027653</v>
      </c>
      <c r="J311" s="104"/>
      <c r="K311" s="5">
        <f>SUM(K3:K310)</f>
        <v>311718.18181818182</v>
      </c>
      <c r="L311" s="5">
        <f>SUM(L3:L310)</f>
        <v>10363465.181818182</v>
      </c>
      <c r="M311" s="5">
        <f>SUM(M3:M310)</f>
        <v>9793707</v>
      </c>
      <c r="N311" s="5">
        <f>SUM(N3:N310)</f>
        <v>569758.18181818188</v>
      </c>
      <c r="O311" s="5">
        <f t="shared" ref="O311:DB311" si="136">SUM(O3:O310)</f>
        <v>33507.5</v>
      </c>
      <c r="P311" s="5">
        <f t="shared" si="136"/>
        <v>34592</v>
      </c>
      <c r="Q311" s="5">
        <f t="shared" si="136"/>
        <v>37313</v>
      </c>
      <c r="R311" s="5">
        <f t="shared" si="136"/>
        <v>40605.5</v>
      </c>
      <c r="S311" s="5">
        <f t="shared" si="136"/>
        <v>6650</v>
      </c>
      <c r="T311" s="5">
        <f t="shared" si="136"/>
        <v>26510</v>
      </c>
      <c r="U311" s="5">
        <f t="shared" si="136"/>
        <v>63430</v>
      </c>
      <c r="V311" s="5">
        <f t="shared" si="136"/>
        <v>73446</v>
      </c>
      <c r="W311" s="5">
        <f t="shared" si="136"/>
        <v>53297.5</v>
      </c>
      <c r="X311" s="5">
        <f t="shared" si="136"/>
        <v>53297.5</v>
      </c>
      <c r="Y311" s="5">
        <f t="shared" si="136"/>
        <v>101020</v>
      </c>
      <c r="Z311" s="5">
        <f t="shared" si="136"/>
        <v>108591</v>
      </c>
      <c r="AA311" s="5">
        <f t="shared" si="136"/>
        <v>122925</v>
      </c>
      <c r="AB311" s="5">
        <f t="shared" si="136"/>
        <v>171625</v>
      </c>
      <c r="AC311" s="5">
        <f t="shared" si="136"/>
        <v>173200</v>
      </c>
      <c r="AD311" s="46">
        <f t="shared" si="136"/>
        <v>195000</v>
      </c>
      <c r="AE311" s="5">
        <f t="shared" si="136"/>
        <v>180412.5</v>
      </c>
      <c r="AF311" s="5">
        <f t="shared" si="136"/>
        <v>174575</v>
      </c>
      <c r="AG311" s="5">
        <f t="shared" si="136"/>
        <v>100475</v>
      </c>
      <c r="AH311" s="5">
        <f t="shared" si="136"/>
        <v>234600</v>
      </c>
      <c r="AI311" s="5">
        <f t="shared" si="136"/>
        <v>259495</v>
      </c>
      <c r="AJ311" s="5">
        <f t="shared" si="136"/>
        <v>273955</v>
      </c>
      <c r="AK311" s="5">
        <f t="shared" si="136"/>
        <v>256230</v>
      </c>
      <c r="AL311" s="5">
        <f t="shared" si="136"/>
        <v>264355</v>
      </c>
      <c r="AM311" s="5">
        <f t="shared" si="136"/>
        <v>227247.5</v>
      </c>
      <c r="AN311" s="5">
        <f t="shared" si="136"/>
        <v>365295</v>
      </c>
      <c r="AO311" s="5">
        <f t="shared" si="136"/>
        <v>338960</v>
      </c>
      <c r="AP311" s="5">
        <f t="shared" si="136"/>
        <v>329105</v>
      </c>
      <c r="AQ311" s="5">
        <f t="shared" si="136"/>
        <v>327245</v>
      </c>
      <c r="AR311" s="5">
        <f t="shared" si="136"/>
        <v>284640</v>
      </c>
      <c r="AS311" s="5">
        <f t="shared" si="136"/>
        <v>255405</v>
      </c>
      <c r="AT311" s="5">
        <f t="shared" si="136"/>
        <v>404665</v>
      </c>
      <c r="AU311" s="5">
        <f t="shared" si="136"/>
        <v>440310</v>
      </c>
      <c r="AV311" s="5">
        <f t="shared" si="136"/>
        <v>477225</v>
      </c>
      <c r="AW311" s="5">
        <f t="shared" si="136"/>
        <v>488685</v>
      </c>
      <c r="AX311" s="5">
        <f t="shared" si="136"/>
        <v>493375</v>
      </c>
      <c r="AY311" s="5">
        <f t="shared" si="136"/>
        <v>493375</v>
      </c>
      <c r="AZ311" s="5">
        <f t="shared" si="136"/>
        <v>66698.5</v>
      </c>
      <c r="BA311" s="5">
        <f t="shared" si="136"/>
        <v>70098.5</v>
      </c>
      <c r="BB311" s="5">
        <f t="shared" si="136"/>
        <v>70098.5</v>
      </c>
      <c r="BC311" s="5">
        <f t="shared" si="136"/>
        <v>70098.5</v>
      </c>
      <c r="BD311" s="5">
        <f t="shared" si="136"/>
        <v>66868.5</v>
      </c>
      <c r="BE311" s="5">
        <f t="shared" si="136"/>
        <v>66868.5</v>
      </c>
      <c r="BF311" s="5">
        <f t="shared" si="136"/>
        <v>12920</v>
      </c>
      <c r="BG311" s="5">
        <f t="shared" si="136"/>
        <v>12920</v>
      </c>
      <c r="BH311" s="5">
        <f t="shared" si="136"/>
        <v>16150</v>
      </c>
      <c r="BI311" s="5">
        <f t="shared" si="136"/>
        <v>16150</v>
      </c>
      <c r="BJ311" s="5">
        <f t="shared" si="136"/>
        <v>16150</v>
      </c>
      <c r="BK311" s="5">
        <f t="shared" si="136"/>
        <v>16150</v>
      </c>
      <c r="BL311" s="41">
        <f t="shared" si="136"/>
        <v>0</v>
      </c>
      <c r="BM311" s="5">
        <f t="shared" si="136"/>
        <v>6930</v>
      </c>
      <c r="BN311" s="5">
        <f t="shared" si="136"/>
        <v>7140</v>
      </c>
      <c r="BO311" s="5">
        <f t="shared" si="136"/>
        <v>7560</v>
      </c>
      <c r="BP311" s="5">
        <f t="shared" si="136"/>
        <v>8370</v>
      </c>
      <c r="BQ311" s="5">
        <f t="shared" si="136"/>
        <v>1118</v>
      </c>
      <c r="BR311" s="5">
        <f t="shared" si="136"/>
        <v>4522</v>
      </c>
      <c r="BS311" s="5">
        <f t="shared" si="136"/>
        <v>5513</v>
      </c>
      <c r="BT311" s="5">
        <f t="shared" si="136"/>
        <v>6304</v>
      </c>
      <c r="BU311" s="5">
        <f t="shared" si="136"/>
        <v>3860</v>
      </c>
      <c r="BV311" s="5">
        <f t="shared" si="136"/>
        <v>3603</v>
      </c>
      <c r="BW311" s="5">
        <f t="shared" si="136"/>
        <v>7646</v>
      </c>
      <c r="BX311" s="5">
        <f t="shared" si="136"/>
        <v>8055</v>
      </c>
      <c r="BY311" s="5">
        <f t="shared" si="136"/>
        <v>11186</v>
      </c>
      <c r="BZ311" s="5">
        <f t="shared" si="136"/>
        <v>27245</v>
      </c>
      <c r="CA311" s="46">
        <f t="shared" si="136"/>
        <v>26865</v>
      </c>
      <c r="CB311" s="46">
        <f t="shared" si="136"/>
        <v>30020</v>
      </c>
      <c r="CC311" s="46">
        <f t="shared" si="136"/>
        <v>26825</v>
      </c>
      <c r="CD311" s="5">
        <f t="shared" si="136"/>
        <v>25245</v>
      </c>
      <c r="CE311" s="5">
        <f t="shared" si="136"/>
        <v>10880</v>
      </c>
      <c r="CF311" s="5">
        <f t="shared" si="136"/>
        <v>33515</v>
      </c>
      <c r="CG311" s="5">
        <f t="shared" si="136"/>
        <v>35040</v>
      </c>
      <c r="CH311" s="5">
        <f t="shared" si="136"/>
        <v>37940</v>
      </c>
      <c r="CI311" s="5">
        <f t="shared" si="136"/>
        <v>35850</v>
      </c>
      <c r="CJ311" s="5">
        <f t="shared" si="136"/>
        <v>34040</v>
      </c>
      <c r="CK311" s="46">
        <f t="shared" si="136"/>
        <v>28595</v>
      </c>
      <c r="CL311" s="46">
        <f t="shared" si="136"/>
        <v>44341</v>
      </c>
      <c r="CM311" s="46">
        <f>SUM(CM3:CM310)</f>
        <v>42615</v>
      </c>
      <c r="CN311" s="46">
        <f>SUM(CN3:CN310)</f>
        <v>39930</v>
      </c>
      <c r="CO311" s="46">
        <f>SUM(CO3:CO310)</f>
        <v>40845</v>
      </c>
      <c r="CP311" s="46">
        <f>SUM(CP3:CP310)</f>
        <v>31950</v>
      </c>
      <c r="CQ311" s="46">
        <f>SUM(CQ3:CQ310)</f>
        <v>31220</v>
      </c>
      <c r="CR311" s="46">
        <f t="shared" ref="CR311:CW311" si="137">SUM(CR3:CR310)</f>
        <v>51835</v>
      </c>
      <c r="CS311" s="46">
        <f t="shared" si="137"/>
        <v>57160</v>
      </c>
      <c r="CT311" s="46">
        <f t="shared" si="137"/>
        <v>62940</v>
      </c>
      <c r="CU311" s="46">
        <f t="shared" si="137"/>
        <v>63900</v>
      </c>
      <c r="CV311" s="46">
        <f t="shared" si="137"/>
        <v>63900</v>
      </c>
      <c r="CW311" s="46">
        <f t="shared" si="137"/>
        <v>63900</v>
      </c>
      <c r="CX311" s="41">
        <f t="shared" si="136"/>
        <v>0</v>
      </c>
      <c r="CY311" s="5">
        <f t="shared" si="136"/>
        <v>0</v>
      </c>
      <c r="CZ311" s="5">
        <f t="shared" si="136"/>
        <v>0</v>
      </c>
      <c r="DA311" s="5">
        <f t="shared" si="136"/>
        <v>0</v>
      </c>
      <c r="DB311" s="5">
        <f t="shared" si="136"/>
        <v>2100</v>
      </c>
      <c r="DC311" s="5">
        <f t="shared" ref="DC311:EI311" si="138">SUM(DC3:DC310)</f>
        <v>1500</v>
      </c>
      <c r="DD311" s="5">
        <f t="shared" si="138"/>
        <v>900</v>
      </c>
      <c r="DE311" s="5">
        <f t="shared" si="138"/>
        <v>968</v>
      </c>
      <c r="DF311" s="5">
        <f t="shared" si="138"/>
        <v>1200</v>
      </c>
      <c r="DG311" s="5">
        <f t="shared" si="138"/>
        <v>1100</v>
      </c>
      <c r="DH311" s="5">
        <f t="shared" si="138"/>
        <v>1100</v>
      </c>
      <c r="DI311" s="5">
        <f t="shared" si="138"/>
        <v>1800</v>
      </c>
      <c r="DJ311" s="5">
        <f t="shared" si="138"/>
        <v>1700</v>
      </c>
      <c r="DK311" s="5">
        <f t="shared" si="138"/>
        <v>3400</v>
      </c>
      <c r="DL311" s="5">
        <f t="shared" si="138"/>
        <v>7400</v>
      </c>
      <c r="DM311" s="5">
        <f t="shared" si="138"/>
        <v>7200</v>
      </c>
      <c r="DN311" s="5">
        <f t="shared" si="138"/>
        <v>8000</v>
      </c>
      <c r="DO311" s="5">
        <f t="shared" si="138"/>
        <v>8000</v>
      </c>
      <c r="DP311" s="5">
        <f t="shared" si="138"/>
        <v>6400</v>
      </c>
      <c r="DQ311" s="5">
        <f t="shared" si="138"/>
        <v>3000</v>
      </c>
      <c r="DR311" s="5">
        <f t="shared" si="138"/>
        <v>11800</v>
      </c>
      <c r="DS311" s="5">
        <f t="shared" si="138"/>
        <v>12600</v>
      </c>
      <c r="DT311" s="5">
        <f t="shared" si="138"/>
        <v>12200</v>
      </c>
      <c r="DU311" s="5">
        <f t="shared" si="138"/>
        <v>12200</v>
      </c>
      <c r="DV311" s="5">
        <f t="shared" si="138"/>
        <v>11000</v>
      </c>
      <c r="DW311" s="5">
        <f t="shared" si="138"/>
        <v>10200</v>
      </c>
      <c r="DX311" s="5">
        <f t="shared" si="138"/>
        <v>14210</v>
      </c>
      <c r="DY311" s="5">
        <f t="shared" si="138"/>
        <v>13600</v>
      </c>
      <c r="DZ311" s="5">
        <f t="shared" si="138"/>
        <v>15200</v>
      </c>
      <c r="EA311" s="5">
        <f t="shared" si="138"/>
        <v>15600</v>
      </c>
      <c r="EB311" s="5">
        <f t="shared" si="138"/>
        <v>15200</v>
      </c>
      <c r="EC311" s="5">
        <f t="shared" si="138"/>
        <v>15200</v>
      </c>
      <c r="ED311" s="46">
        <f t="shared" si="138"/>
        <v>14800</v>
      </c>
      <c r="EE311" s="5">
        <f t="shared" si="138"/>
        <v>16600</v>
      </c>
      <c r="EF311" s="5">
        <f t="shared" si="138"/>
        <v>17400</v>
      </c>
      <c r="EG311" s="5">
        <f t="shared" si="138"/>
        <v>18000</v>
      </c>
      <c r="EH311" s="5">
        <f t="shared" si="138"/>
        <v>17200</v>
      </c>
      <c r="EI311" s="5">
        <f t="shared" si="138"/>
        <v>16400</v>
      </c>
      <c r="EJ311" s="35"/>
    </row>
    <row r="312" spans="1:140" s="26" customFormat="1" ht="18" customHeight="1">
      <c r="A312" s="60"/>
      <c r="B312" s="85" t="s">
        <v>512</v>
      </c>
      <c r="C312" s="56">
        <f>COUNTIF(B3:B310,"ZXS")</f>
        <v>161</v>
      </c>
      <c r="D312" s="90"/>
      <c r="E312" s="60"/>
      <c r="F312" s="60"/>
      <c r="G312" s="145"/>
      <c r="H312" s="105"/>
      <c r="I312" s="90"/>
      <c r="J312" s="105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4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42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47"/>
      <c r="CB312" s="47"/>
      <c r="CC312" s="47"/>
      <c r="CD312" s="27"/>
      <c r="CE312" s="27"/>
      <c r="CF312" s="27"/>
      <c r="CG312" s="27"/>
      <c r="CH312" s="27"/>
      <c r="CI312" s="27"/>
      <c r="CJ312" s="27"/>
      <c r="CK312" s="47"/>
      <c r="CL312" s="47"/>
      <c r="CM312" s="47"/>
      <c r="CN312" s="47"/>
      <c r="CO312" s="27"/>
      <c r="CP312" s="27"/>
      <c r="CQ312" s="27"/>
      <c r="CR312" s="27"/>
      <c r="CS312" s="27"/>
      <c r="CT312" s="27"/>
      <c r="CU312" s="27"/>
      <c r="CV312" s="27"/>
      <c r="CW312" s="27"/>
      <c r="CX312" s="42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ED312" s="186"/>
    </row>
    <row r="313" spans="1:140" ht="18" customHeight="1">
      <c r="A313" s="56"/>
      <c r="B313" s="86" t="s">
        <v>513</v>
      </c>
      <c r="C313" s="57">
        <f>COUNTIF(B3:B310,"TFS")</f>
        <v>104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48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4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48"/>
      <c r="CB313" s="48"/>
      <c r="CC313" s="48"/>
      <c r="CD313" s="3"/>
      <c r="CE313" s="3"/>
      <c r="CF313" s="3"/>
      <c r="CG313" s="3"/>
      <c r="CH313" s="3"/>
      <c r="CI313" s="3"/>
      <c r="CJ313" s="3"/>
      <c r="CK313" s="48"/>
      <c r="CL313" s="48"/>
      <c r="CM313" s="48"/>
      <c r="CN313" s="48"/>
      <c r="CO313" s="3"/>
      <c r="CP313" s="3"/>
      <c r="CQ313" s="3"/>
      <c r="CR313" s="3"/>
      <c r="CS313" s="3"/>
      <c r="CT313" s="3"/>
      <c r="CU313" s="3"/>
      <c r="CV313" s="3"/>
      <c r="CW313" s="3"/>
      <c r="CX313" s="4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</row>
    <row r="314" spans="1:140" ht="18" customHeight="1">
      <c r="A314" s="60"/>
      <c r="B314" s="86" t="s">
        <v>515</v>
      </c>
      <c r="C314" s="57">
        <f>COUNTIF(B3:B310,"YBS")</f>
        <v>35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48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4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48"/>
      <c r="CB314" s="48"/>
      <c r="CC314" s="48"/>
      <c r="CD314" s="3"/>
      <c r="CE314" s="3"/>
      <c r="CF314" s="3"/>
      <c r="CG314" s="3"/>
      <c r="CH314" s="3"/>
      <c r="CI314" s="3"/>
      <c r="CJ314" s="3"/>
      <c r="CK314" s="48"/>
      <c r="CL314" s="48"/>
      <c r="CM314" s="48"/>
      <c r="CN314" s="48"/>
      <c r="CO314" s="3"/>
      <c r="CP314" s="3"/>
      <c r="CQ314" s="3"/>
      <c r="CR314" s="3"/>
      <c r="CS314" s="3"/>
      <c r="CT314" s="3"/>
      <c r="CU314" s="3"/>
      <c r="CV314" s="3"/>
      <c r="CW314" s="3"/>
      <c r="CX314" s="4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</row>
    <row r="315" spans="1:140" ht="18" customHeight="1"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48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4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48"/>
      <c r="CB315" s="48"/>
      <c r="CC315" s="48"/>
      <c r="CD315" s="3"/>
      <c r="CE315" s="3"/>
      <c r="CF315" s="3"/>
      <c r="CG315" s="3"/>
      <c r="CH315" s="3"/>
      <c r="CI315" s="3"/>
      <c r="CJ315" s="3"/>
      <c r="CK315" s="48"/>
      <c r="CL315" s="48"/>
      <c r="CM315" s="48"/>
      <c r="CN315" s="48"/>
      <c r="CO315" s="3"/>
      <c r="CP315" s="3"/>
      <c r="CQ315" s="3"/>
      <c r="CR315" s="3"/>
      <c r="CS315" s="3"/>
      <c r="CT315" s="3"/>
      <c r="CU315" s="3"/>
      <c r="CV315" s="3"/>
      <c r="CW315" s="3"/>
      <c r="CX315" s="4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</row>
    <row r="316" spans="1:140" ht="18" customHeight="1"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48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4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48"/>
      <c r="CB316" s="48"/>
      <c r="CC316" s="48"/>
      <c r="CD316" s="3"/>
      <c r="CE316" s="3"/>
      <c r="CF316" s="3"/>
      <c r="CG316" s="3"/>
      <c r="CH316" s="3"/>
      <c r="CI316" s="3"/>
      <c r="CJ316" s="3"/>
      <c r="CK316" s="48"/>
      <c r="CL316" s="48"/>
      <c r="CM316" s="48"/>
      <c r="CN316" s="48"/>
      <c r="CO316" s="3"/>
      <c r="CP316" s="3"/>
      <c r="CQ316" s="3"/>
      <c r="CR316" s="3"/>
      <c r="CS316" s="3"/>
      <c r="CT316" s="3"/>
      <c r="CU316" s="3"/>
      <c r="CV316" s="3"/>
      <c r="CW316" s="3"/>
      <c r="CX316" s="4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</row>
    <row r="317" spans="1:140" ht="18" customHeight="1"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48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4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48"/>
      <c r="CB317" s="48"/>
      <c r="CC317" s="48"/>
      <c r="CD317" s="3"/>
      <c r="CE317" s="3"/>
      <c r="CF317" s="3"/>
      <c r="CG317" s="3"/>
      <c r="CH317" s="3"/>
      <c r="CI317" s="3"/>
      <c r="CJ317" s="3"/>
      <c r="CK317" s="48"/>
      <c r="CL317" s="48"/>
      <c r="CM317" s="48"/>
      <c r="CN317" s="48"/>
      <c r="CO317" s="3"/>
      <c r="CP317" s="3"/>
      <c r="CQ317" s="3"/>
      <c r="CR317" s="3"/>
      <c r="CS317" s="3"/>
      <c r="CT317" s="3"/>
      <c r="CU317" s="3"/>
      <c r="CV317" s="3"/>
      <c r="CW317" s="3"/>
      <c r="CX317" s="4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</row>
    <row r="318" spans="1:140" ht="18" customHeight="1"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48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4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48"/>
      <c r="CB318" s="48"/>
      <c r="CC318" s="48"/>
      <c r="CD318" s="3"/>
      <c r="CE318" s="3"/>
      <c r="CF318" s="3"/>
      <c r="CG318" s="3"/>
      <c r="CH318" s="3"/>
      <c r="CI318" s="3"/>
      <c r="CJ318" s="3"/>
      <c r="CK318" s="48"/>
      <c r="CL318" s="48"/>
      <c r="CM318" s="48"/>
      <c r="CN318" s="48"/>
      <c r="CO318" s="3"/>
      <c r="CP318" s="3"/>
      <c r="CQ318" s="3"/>
      <c r="CR318" s="3"/>
      <c r="CS318" s="3"/>
      <c r="CT318" s="3"/>
      <c r="CU318" s="3"/>
      <c r="CV318" s="3"/>
      <c r="CW318" s="3"/>
      <c r="CX318" s="4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</row>
    <row r="319" spans="1:140" ht="18" customHeight="1">
      <c r="E319" s="60"/>
      <c r="F319" s="110"/>
      <c r="G319" s="14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48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4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48"/>
      <c r="CB319" s="48"/>
      <c r="CC319" s="48"/>
      <c r="CD319" s="3"/>
      <c r="CE319" s="3"/>
      <c r="CF319" s="3"/>
      <c r="CG319" s="3"/>
      <c r="CH319" s="3"/>
      <c r="CI319" s="3"/>
      <c r="CJ319" s="3"/>
      <c r="CK319" s="48"/>
      <c r="CL319" s="48"/>
      <c r="CM319" s="48"/>
      <c r="CN319" s="48"/>
      <c r="CO319" s="3"/>
      <c r="CP319" s="3"/>
      <c r="CQ319" s="3"/>
      <c r="CR319" s="3"/>
      <c r="CS319" s="3"/>
      <c r="CT319" s="3"/>
      <c r="CU319" s="3"/>
      <c r="CV319" s="3"/>
      <c r="CW319" s="3"/>
      <c r="CX319" s="4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</row>
    <row r="320" spans="1:140" ht="18" customHeight="1">
      <c r="E320" s="110"/>
      <c r="F320" s="60"/>
      <c r="G320" s="145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48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4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48"/>
      <c r="CB320" s="48"/>
      <c r="CC320" s="48"/>
      <c r="CD320" s="3"/>
      <c r="CE320" s="3"/>
      <c r="CF320" s="3"/>
      <c r="CG320" s="3"/>
      <c r="CH320" s="3"/>
      <c r="CI320" s="3"/>
      <c r="CJ320" s="3"/>
      <c r="CK320" s="48"/>
      <c r="CL320" s="48"/>
      <c r="CM320" s="48"/>
      <c r="CN320" s="48"/>
      <c r="CO320" s="3"/>
      <c r="CP320" s="3"/>
      <c r="CQ320" s="3"/>
      <c r="CR320" s="3"/>
      <c r="CS320" s="3"/>
      <c r="CT320" s="3"/>
      <c r="CU320" s="3"/>
      <c r="CV320" s="3"/>
      <c r="CW320" s="3"/>
      <c r="CX320" s="4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</row>
    <row r="321" spans="5:115" ht="12.75">
      <c r="E321" s="110"/>
      <c r="F321" s="60"/>
      <c r="G321" s="145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48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4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48"/>
      <c r="CB321" s="48"/>
      <c r="CC321" s="48"/>
      <c r="CD321" s="3"/>
      <c r="CE321" s="3"/>
      <c r="CF321" s="3"/>
      <c r="CG321" s="3"/>
      <c r="CH321" s="3"/>
      <c r="CI321" s="3"/>
      <c r="CJ321" s="3"/>
      <c r="CK321" s="48"/>
      <c r="CL321" s="48"/>
      <c r="CM321" s="48"/>
      <c r="CN321" s="48"/>
      <c r="CO321" s="3"/>
      <c r="CP321" s="3"/>
      <c r="CQ321" s="3"/>
      <c r="CR321" s="3"/>
      <c r="CS321" s="3"/>
      <c r="CT321" s="3"/>
      <c r="CU321" s="3"/>
      <c r="CV321" s="3"/>
      <c r="CW321" s="3"/>
      <c r="CX321" s="4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</row>
    <row r="322" spans="5:115" ht="12.75">
      <c r="F322" s="109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48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4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48"/>
      <c r="CB322" s="48"/>
      <c r="CC322" s="48"/>
      <c r="CD322" s="3"/>
      <c r="CE322" s="3"/>
      <c r="CF322" s="3"/>
      <c r="CG322" s="3"/>
      <c r="CH322" s="3"/>
      <c r="CI322" s="3"/>
      <c r="CJ322" s="3"/>
      <c r="CK322" s="48"/>
      <c r="CL322" s="48"/>
      <c r="CM322" s="48"/>
      <c r="CN322" s="48"/>
      <c r="CO322" s="3"/>
      <c r="CP322" s="3"/>
      <c r="CQ322" s="3"/>
      <c r="CR322" s="3"/>
      <c r="CS322" s="3"/>
      <c r="CT322" s="3"/>
      <c r="CU322" s="3"/>
      <c r="CV322" s="3"/>
      <c r="CW322" s="3"/>
      <c r="CX322" s="4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</row>
    <row r="323" spans="5:115" ht="12.75"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48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4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48"/>
      <c r="CB323" s="48"/>
      <c r="CC323" s="48"/>
      <c r="CD323" s="3"/>
      <c r="CE323" s="3"/>
      <c r="CF323" s="3"/>
      <c r="CG323" s="3"/>
      <c r="CH323" s="3"/>
      <c r="CI323" s="3"/>
      <c r="CJ323" s="3"/>
      <c r="CK323" s="48"/>
      <c r="CL323" s="48"/>
      <c r="CM323" s="48"/>
      <c r="CN323" s="48"/>
      <c r="CO323" s="3"/>
      <c r="CP323" s="3"/>
      <c r="CQ323" s="3"/>
      <c r="CR323" s="3"/>
      <c r="CS323" s="3"/>
      <c r="CT323" s="3"/>
      <c r="CU323" s="3"/>
      <c r="CV323" s="3"/>
      <c r="CW323" s="3"/>
      <c r="CX323" s="4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</row>
    <row r="324" spans="5:115" ht="12.75"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48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4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48"/>
      <c r="CB324" s="48"/>
      <c r="CC324" s="48"/>
      <c r="CD324" s="3"/>
      <c r="CE324" s="3"/>
      <c r="CF324" s="3"/>
      <c r="CG324" s="3"/>
      <c r="CH324" s="3"/>
      <c r="CI324" s="3"/>
      <c r="CJ324" s="3"/>
      <c r="CK324" s="48"/>
      <c r="CL324" s="48"/>
      <c r="CM324" s="48"/>
      <c r="CN324" s="48"/>
      <c r="CO324" s="3"/>
      <c r="CP324" s="3"/>
      <c r="CQ324" s="3"/>
      <c r="CR324" s="3"/>
      <c r="CS324" s="3"/>
      <c r="CT324" s="3"/>
      <c r="CU324" s="3"/>
      <c r="CV324" s="3"/>
      <c r="CW324" s="3"/>
      <c r="CX324" s="4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</row>
    <row r="325" spans="5:115" ht="12.75"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48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4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48"/>
      <c r="CB325" s="48"/>
      <c r="CC325" s="48"/>
      <c r="CD325" s="3"/>
      <c r="CE325" s="3"/>
      <c r="CF325" s="3"/>
      <c r="CG325" s="3"/>
      <c r="CH325" s="3"/>
      <c r="CI325" s="3"/>
      <c r="CJ325" s="3"/>
      <c r="CK325" s="48"/>
      <c r="CL325" s="48"/>
      <c r="CM325" s="48"/>
      <c r="CN325" s="48"/>
      <c r="CO325" s="3"/>
      <c r="CP325" s="3"/>
      <c r="CQ325" s="3"/>
      <c r="CR325" s="3"/>
      <c r="CS325" s="3"/>
      <c r="CT325" s="3"/>
      <c r="CU325" s="3"/>
      <c r="CV325" s="3"/>
      <c r="CW325" s="3"/>
      <c r="CX325" s="4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</row>
    <row r="326" spans="5:115" ht="12.75"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48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4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48"/>
      <c r="CB326" s="48"/>
      <c r="CC326" s="48"/>
      <c r="CD326" s="3"/>
      <c r="CE326" s="3"/>
      <c r="CF326" s="3"/>
      <c r="CG326" s="3"/>
      <c r="CH326" s="3"/>
      <c r="CI326" s="3"/>
      <c r="CJ326" s="3"/>
      <c r="CK326" s="48"/>
      <c r="CL326" s="48"/>
      <c r="CM326" s="48"/>
      <c r="CN326" s="48"/>
      <c r="CO326" s="3"/>
      <c r="CP326" s="3"/>
      <c r="CQ326" s="3"/>
      <c r="CR326" s="3"/>
      <c r="CS326" s="3"/>
      <c r="CT326" s="3"/>
      <c r="CU326" s="3"/>
      <c r="CV326" s="3"/>
      <c r="CW326" s="3"/>
      <c r="CX326" s="4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</row>
    <row r="327" spans="5:115" ht="12.75"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48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4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48"/>
      <c r="CB327" s="48"/>
      <c r="CC327" s="48"/>
      <c r="CD327" s="3"/>
      <c r="CE327" s="3"/>
      <c r="CF327" s="3"/>
      <c r="CG327" s="3"/>
      <c r="CH327" s="3"/>
      <c r="CI327" s="3"/>
      <c r="CJ327" s="3"/>
      <c r="CK327" s="48"/>
      <c r="CL327" s="48"/>
      <c r="CM327" s="48"/>
      <c r="CN327" s="48"/>
      <c r="CO327" s="3"/>
      <c r="CP327" s="3"/>
      <c r="CQ327" s="3"/>
      <c r="CR327" s="3"/>
      <c r="CS327" s="3"/>
      <c r="CT327" s="3"/>
      <c r="CU327" s="3"/>
      <c r="CV327" s="3"/>
      <c r="CW327" s="3"/>
      <c r="CX327" s="4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</row>
    <row r="328" spans="5:115" ht="12.75"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48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4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48"/>
      <c r="CB328" s="48"/>
      <c r="CC328" s="48"/>
      <c r="CD328" s="3"/>
      <c r="CE328" s="3"/>
      <c r="CF328" s="3"/>
      <c r="CG328" s="3"/>
      <c r="CH328" s="3"/>
      <c r="CI328" s="3"/>
      <c r="CJ328" s="3"/>
      <c r="CK328" s="48"/>
      <c r="CL328" s="48"/>
      <c r="CM328" s="48"/>
      <c r="CN328" s="48"/>
      <c r="CO328" s="3"/>
      <c r="CP328" s="3"/>
      <c r="CQ328" s="3"/>
      <c r="CR328" s="3"/>
      <c r="CS328" s="3"/>
      <c r="CT328" s="3"/>
      <c r="CU328" s="3"/>
      <c r="CV328" s="3"/>
      <c r="CW328" s="3"/>
      <c r="CX328" s="4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</row>
    <row r="329" spans="5:115" ht="12.75"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48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4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48"/>
      <c r="CB329" s="48"/>
      <c r="CC329" s="48"/>
      <c r="CD329" s="3"/>
      <c r="CE329" s="3"/>
      <c r="CF329" s="3"/>
      <c r="CG329" s="3"/>
      <c r="CH329" s="3"/>
      <c r="CI329" s="3"/>
      <c r="CJ329" s="3"/>
      <c r="CK329" s="48"/>
      <c r="CL329" s="48"/>
      <c r="CM329" s="48"/>
      <c r="CN329" s="48"/>
      <c r="CO329" s="3"/>
      <c r="CP329" s="3"/>
      <c r="CQ329" s="3"/>
      <c r="CR329" s="3"/>
      <c r="CS329" s="3"/>
      <c r="CT329" s="3"/>
      <c r="CU329" s="3"/>
      <c r="CV329" s="3"/>
      <c r="CW329" s="3"/>
      <c r="CX329" s="4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</row>
    <row r="330" spans="5:115" ht="12.75"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48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4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48"/>
      <c r="CB330" s="48"/>
      <c r="CC330" s="48"/>
      <c r="CD330" s="3"/>
      <c r="CE330" s="3"/>
      <c r="CF330" s="3"/>
      <c r="CG330" s="3"/>
      <c r="CH330" s="3"/>
      <c r="CI330" s="3"/>
      <c r="CJ330" s="3"/>
      <c r="CK330" s="48"/>
      <c r="CL330" s="48"/>
      <c r="CM330" s="48"/>
      <c r="CN330" s="48"/>
      <c r="CO330" s="3"/>
      <c r="CP330" s="3"/>
      <c r="CQ330" s="3"/>
      <c r="CR330" s="3"/>
      <c r="CS330" s="3"/>
      <c r="CT330" s="3"/>
      <c r="CU330" s="3"/>
      <c r="CV330" s="3"/>
      <c r="CW330" s="3"/>
      <c r="CX330" s="4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</row>
    <row r="331" spans="5:115" ht="12.75"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48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4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48"/>
      <c r="CB331" s="48"/>
      <c r="CC331" s="48"/>
      <c r="CD331" s="3"/>
      <c r="CE331" s="3"/>
      <c r="CF331" s="3"/>
      <c r="CG331" s="3"/>
      <c r="CH331" s="3"/>
      <c r="CI331" s="3"/>
      <c r="CJ331" s="3"/>
      <c r="CK331" s="48"/>
      <c r="CL331" s="48"/>
      <c r="CM331" s="48"/>
      <c r="CN331" s="48"/>
      <c r="CO331" s="3"/>
      <c r="CP331" s="3"/>
      <c r="CQ331" s="3"/>
      <c r="CR331" s="3"/>
      <c r="CS331" s="3"/>
      <c r="CT331" s="3"/>
      <c r="CU331" s="3"/>
      <c r="CV331" s="3"/>
      <c r="CW331" s="3"/>
      <c r="CX331" s="4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</row>
    <row r="332" spans="5:115" ht="12.75"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48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4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48"/>
      <c r="CB332" s="48"/>
      <c r="CC332" s="48"/>
      <c r="CD332" s="3"/>
      <c r="CE332" s="3"/>
      <c r="CF332" s="3"/>
      <c r="CG332" s="3"/>
      <c r="CH332" s="3"/>
      <c r="CI332" s="3"/>
      <c r="CJ332" s="3"/>
      <c r="CK332" s="48"/>
      <c r="CL332" s="48"/>
      <c r="CM332" s="48"/>
      <c r="CN332" s="48"/>
      <c r="CO332" s="3"/>
      <c r="CP332" s="3"/>
      <c r="CQ332" s="3"/>
      <c r="CR332" s="3"/>
      <c r="CS332" s="3"/>
      <c r="CT332" s="3"/>
      <c r="CU332" s="3"/>
      <c r="CV332" s="3"/>
      <c r="CW332" s="3"/>
      <c r="CX332" s="4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</row>
    <row r="333" spans="5:115" ht="12.75"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48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4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48"/>
      <c r="CB333" s="48"/>
      <c r="CC333" s="48"/>
      <c r="CD333" s="3"/>
      <c r="CE333" s="3"/>
      <c r="CF333" s="3"/>
      <c r="CG333" s="3"/>
      <c r="CH333" s="3"/>
      <c r="CI333" s="3"/>
      <c r="CJ333" s="3"/>
      <c r="CK333" s="48"/>
      <c r="CL333" s="48"/>
      <c r="CM333" s="48"/>
      <c r="CN333" s="48"/>
      <c r="CO333" s="3"/>
      <c r="CP333" s="3"/>
      <c r="CQ333" s="3"/>
      <c r="CR333" s="3"/>
      <c r="CS333" s="3"/>
      <c r="CT333" s="3"/>
      <c r="CU333" s="3"/>
      <c r="CV333" s="3"/>
      <c r="CW333" s="3"/>
      <c r="CX333" s="4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</row>
    <row r="334" spans="5:115" ht="12.75"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48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4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48"/>
      <c r="CB334" s="48"/>
      <c r="CC334" s="48"/>
      <c r="CD334" s="3"/>
      <c r="CE334" s="3"/>
      <c r="CF334" s="3"/>
      <c r="CG334" s="3"/>
      <c r="CH334" s="3"/>
      <c r="CI334" s="3"/>
      <c r="CJ334" s="3"/>
      <c r="CK334" s="48"/>
      <c r="CL334" s="48"/>
      <c r="CM334" s="48"/>
      <c r="CN334" s="48"/>
      <c r="CO334" s="3"/>
      <c r="CP334" s="3"/>
      <c r="CQ334" s="3"/>
      <c r="CR334" s="3"/>
      <c r="CS334" s="3"/>
      <c r="CT334" s="3"/>
      <c r="CU334" s="3"/>
      <c r="CV334" s="3"/>
      <c r="CW334" s="3"/>
      <c r="CX334" s="4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</row>
    <row r="335" spans="5:115" ht="12.75"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48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4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48"/>
      <c r="CB335" s="48"/>
      <c r="CC335" s="48"/>
      <c r="CD335" s="3"/>
      <c r="CE335" s="3"/>
      <c r="CF335" s="3"/>
      <c r="CG335" s="3"/>
      <c r="CH335" s="3"/>
      <c r="CI335" s="3"/>
      <c r="CJ335" s="3"/>
      <c r="CK335" s="48"/>
      <c r="CL335" s="48"/>
      <c r="CM335" s="48"/>
      <c r="CN335" s="48"/>
      <c r="CO335" s="3"/>
      <c r="CP335" s="3"/>
      <c r="CQ335" s="3"/>
      <c r="CR335" s="3"/>
      <c r="CS335" s="3"/>
      <c r="CT335" s="3"/>
      <c r="CU335" s="3"/>
      <c r="CV335" s="3"/>
      <c r="CW335" s="3"/>
      <c r="CX335" s="4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</row>
    <row r="336" spans="5:115" ht="12.75"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48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4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48"/>
      <c r="CB336" s="48"/>
      <c r="CC336" s="48"/>
      <c r="CD336" s="3"/>
      <c r="CE336" s="3"/>
      <c r="CF336" s="3"/>
      <c r="CG336" s="3"/>
      <c r="CH336" s="3"/>
      <c r="CI336" s="3"/>
      <c r="CJ336" s="3"/>
      <c r="CK336" s="48"/>
      <c r="CL336" s="48"/>
      <c r="CM336" s="48"/>
      <c r="CN336" s="48"/>
      <c r="CO336" s="3"/>
      <c r="CP336" s="3"/>
      <c r="CQ336" s="3"/>
      <c r="CR336" s="3"/>
      <c r="CS336" s="3"/>
      <c r="CT336" s="3"/>
      <c r="CU336" s="3"/>
      <c r="CV336" s="3"/>
      <c r="CW336" s="3"/>
      <c r="CX336" s="4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</row>
    <row r="337" spans="13:115" ht="12.75"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48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4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48"/>
      <c r="CB337" s="48"/>
      <c r="CC337" s="48"/>
      <c r="CD337" s="3"/>
      <c r="CE337" s="3"/>
      <c r="CF337" s="3"/>
      <c r="CG337" s="3"/>
      <c r="CH337" s="3"/>
      <c r="CI337" s="3"/>
      <c r="CJ337" s="3"/>
      <c r="CK337" s="48"/>
      <c r="CL337" s="48"/>
      <c r="CM337" s="48"/>
      <c r="CN337" s="48"/>
      <c r="CO337" s="3"/>
      <c r="CP337" s="3"/>
      <c r="CQ337" s="3"/>
      <c r="CR337" s="3"/>
      <c r="CS337" s="3"/>
      <c r="CT337" s="3"/>
      <c r="CU337" s="3"/>
      <c r="CV337" s="3"/>
      <c r="CW337" s="3"/>
      <c r="CX337" s="4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</row>
    <row r="338" spans="13:115" ht="12.75"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48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4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48"/>
      <c r="CB338" s="48"/>
      <c r="CC338" s="48"/>
      <c r="CD338" s="3"/>
      <c r="CE338" s="3"/>
      <c r="CF338" s="3"/>
      <c r="CG338" s="3"/>
      <c r="CH338" s="3"/>
      <c r="CI338" s="3"/>
      <c r="CJ338" s="3"/>
      <c r="CK338" s="48"/>
      <c r="CL338" s="48"/>
      <c r="CM338" s="48"/>
      <c r="CN338" s="48"/>
      <c r="CO338" s="3"/>
      <c r="CP338" s="3"/>
      <c r="CQ338" s="3"/>
      <c r="CR338" s="3"/>
      <c r="CS338" s="3"/>
      <c r="CT338" s="3"/>
      <c r="CU338" s="3"/>
      <c r="CV338" s="3"/>
      <c r="CW338" s="3"/>
      <c r="CX338" s="4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</row>
    <row r="339" spans="13:115" ht="12.75"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48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4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48"/>
      <c r="CB339" s="48"/>
      <c r="CC339" s="48"/>
      <c r="CD339" s="3"/>
      <c r="CE339" s="3"/>
      <c r="CF339" s="3"/>
      <c r="CG339" s="3"/>
      <c r="CH339" s="3"/>
      <c r="CI339" s="3"/>
      <c r="CJ339" s="3"/>
      <c r="CK339" s="48"/>
      <c r="CL339" s="48"/>
      <c r="CM339" s="48"/>
      <c r="CN339" s="48"/>
      <c r="CO339" s="3"/>
      <c r="CP339" s="3"/>
      <c r="CQ339" s="3"/>
      <c r="CR339" s="3"/>
      <c r="CS339" s="3"/>
      <c r="CT339" s="3"/>
      <c r="CU339" s="3"/>
      <c r="CV339" s="3"/>
      <c r="CW339" s="3"/>
      <c r="CX339" s="4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</row>
    <row r="340" spans="13:115" ht="12.75"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48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4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48"/>
      <c r="CB340" s="48"/>
      <c r="CC340" s="48"/>
      <c r="CD340" s="3"/>
      <c r="CE340" s="3"/>
      <c r="CF340" s="3"/>
      <c r="CG340" s="3"/>
      <c r="CH340" s="3"/>
      <c r="CI340" s="3"/>
      <c r="CJ340" s="3"/>
      <c r="CK340" s="48"/>
      <c r="CL340" s="48"/>
      <c r="CM340" s="48"/>
      <c r="CN340" s="48"/>
      <c r="CO340" s="3"/>
      <c r="CP340" s="3"/>
      <c r="CQ340" s="3"/>
      <c r="CR340" s="3"/>
      <c r="CS340" s="3"/>
      <c r="CT340" s="3"/>
      <c r="CU340" s="3"/>
      <c r="CV340" s="3"/>
      <c r="CW340" s="3"/>
      <c r="CX340" s="4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</row>
    <row r="341" spans="13:115" ht="12.75"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48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4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48"/>
      <c r="CB341" s="48"/>
      <c r="CC341" s="48"/>
      <c r="CD341" s="3"/>
      <c r="CE341" s="3"/>
      <c r="CF341" s="3"/>
      <c r="CG341" s="3"/>
      <c r="CH341" s="3"/>
      <c r="CI341" s="3"/>
      <c r="CJ341" s="3"/>
      <c r="CK341" s="48"/>
      <c r="CL341" s="48"/>
      <c r="CM341" s="48"/>
      <c r="CN341" s="48"/>
      <c r="CO341" s="3"/>
      <c r="CP341" s="3"/>
      <c r="CQ341" s="3"/>
      <c r="CR341" s="3"/>
      <c r="CS341" s="3"/>
      <c r="CT341" s="3"/>
      <c r="CU341" s="3"/>
      <c r="CV341" s="3"/>
      <c r="CW341" s="3"/>
      <c r="CX341" s="4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</row>
    <row r="342" spans="13:115" ht="12.75"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48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4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48"/>
      <c r="CB342" s="48"/>
      <c r="CC342" s="48"/>
      <c r="CD342" s="3"/>
      <c r="CE342" s="3"/>
      <c r="CF342" s="3"/>
      <c r="CG342" s="3"/>
      <c r="CH342" s="3"/>
      <c r="CI342" s="3"/>
      <c r="CJ342" s="3"/>
      <c r="CK342" s="48"/>
      <c r="CL342" s="48"/>
      <c r="CM342" s="48"/>
      <c r="CN342" s="48"/>
      <c r="CO342" s="3"/>
      <c r="CP342" s="3"/>
      <c r="CQ342" s="3"/>
      <c r="CR342" s="3"/>
      <c r="CS342" s="3"/>
      <c r="CT342" s="3"/>
      <c r="CU342" s="3"/>
      <c r="CV342" s="3"/>
      <c r="CW342" s="3"/>
      <c r="CX342" s="4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</row>
    <row r="343" spans="13:115" ht="12.75"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48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4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48"/>
      <c r="CB343" s="48"/>
      <c r="CC343" s="48"/>
      <c r="CD343" s="3"/>
      <c r="CE343" s="3"/>
      <c r="CF343" s="3"/>
      <c r="CG343" s="3"/>
      <c r="CH343" s="3"/>
      <c r="CI343" s="3"/>
      <c r="CJ343" s="3"/>
      <c r="CK343" s="48"/>
      <c r="CL343" s="48"/>
      <c r="CM343" s="48"/>
      <c r="CN343" s="48"/>
      <c r="CO343" s="3"/>
      <c r="CP343" s="3"/>
      <c r="CQ343" s="3"/>
      <c r="CR343" s="3"/>
      <c r="CS343" s="3"/>
      <c r="CT343" s="3"/>
      <c r="CU343" s="3"/>
      <c r="CV343" s="3"/>
      <c r="CW343" s="3"/>
      <c r="CX343" s="4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</row>
    <row r="344" spans="13:115" ht="12.75"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48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4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48"/>
      <c r="CB344" s="48"/>
      <c r="CC344" s="48"/>
      <c r="CD344" s="3"/>
      <c r="CE344" s="3"/>
      <c r="CF344" s="3"/>
      <c r="CG344" s="3"/>
      <c r="CH344" s="3"/>
      <c r="CI344" s="3"/>
      <c r="CJ344" s="3"/>
      <c r="CK344" s="48"/>
      <c r="CL344" s="48"/>
      <c r="CM344" s="48"/>
      <c r="CN344" s="48"/>
      <c r="CO344" s="3"/>
      <c r="CP344" s="3"/>
      <c r="CQ344" s="3"/>
      <c r="CR344" s="3"/>
      <c r="CS344" s="3"/>
      <c r="CT344" s="3"/>
      <c r="CU344" s="3"/>
      <c r="CV344" s="3"/>
      <c r="CW344" s="3"/>
      <c r="CX344" s="4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</row>
    <row r="345" spans="13:115" ht="12.75"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48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4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48"/>
      <c r="CB345" s="48"/>
      <c r="CC345" s="48"/>
      <c r="CD345" s="3"/>
      <c r="CE345" s="3"/>
      <c r="CF345" s="3"/>
      <c r="CG345" s="3"/>
      <c r="CH345" s="3"/>
      <c r="CI345" s="3"/>
      <c r="CJ345" s="3"/>
      <c r="CK345" s="48"/>
      <c r="CL345" s="48"/>
      <c r="CM345" s="48"/>
      <c r="CN345" s="48"/>
      <c r="CO345" s="3"/>
      <c r="CP345" s="3"/>
      <c r="CQ345" s="3"/>
      <c r="CR345" s="3"/>
      <c r="CS345" s="3"/>
      <c r="CT345" s="3"/>
      <c r="CU345" s="3"/>
      <c r="CV345" s="3"/>
      <c r="CW345" s="3"/>
      <c r="CX345" s="4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</row>
    <row r="346" spans="13:115" ht="12.75"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48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4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48"/>
      <c r="CB346" s="48"/>
      <c r="CC346" s="48"/>
      <c r="CD346" s="3"/>
      <c r="CE346" s="3"/>
      <c r="CF346" s="3"/>
      <c r="CG346" s="3"/>
      <c r="CH346" s="3"/>
      <c r="CI346" s="3"/>
      <c r="CJ346" s="3"/>
      <c r="CK346" s="48"/>
      <c r="CL346" s="48"/>
      <c r="CM346" s="48"/>
      <c r="CN346" s="48"/>
      <c r="CO346" s="3"/>
      <c r="CP346" s="3"/>
      <c r="CQ346" s="3"/>
      <c r="CR346" s="3"/>
      <c r="CS346" s="3"/>
      <c r="CT346" s="3"/>
      <c r="CU346" s="3"/>
      <c r="CV346" s="3"/>
      <c r="CW346" s="3"/>
      <c r="CX346" s="4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</row>
    <row r="347" spans="13:115" ht="12.75"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48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4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48"/>
      <c r="CB347" s="48"/>
      <c r="CC347" s="48"/>
      <c r="CD347" s="3"/>
      <c r="CE347" s="3"/>
      <c r="CF347" s="3"/>
      <c r="CG347" s="3"/>
      <c r="CH347" s="3"/>
      <c r="CI347" s="3"/>
      <c r="CJ347" s="3"/>
      <c r="CK347" s="48"/>
      <c r="CL347" s="48"/>
      <c r="CM347" s="48"/>
      <c r="CN347" s="48"/>
      <c r="CO347" s="3"/>
      <c r="CP347" s="3"/>
      <c r="CQ347" s="3"/>
      <c r="CR347" s="3"/>
      <c r="CS347" s="3"/>
      <c r="CT347" s="3"/>
      <c r="CU347" s="3"/>
      <c r="CV347" s="3"/>
      <c r="CW347" s="3"/>
      <c r="CX347" s="4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</row>
    <row r="348" spans="13:115" ht="12.75"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48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4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48"/>
      <c r="CB348" s="48"/>
      <c r="CC348" s="48"/>
      <c r="CD348" s="3"/>
      <c r="CE348" s="3"/>
      <c r="CF348" s="3"/>
      <c r="CG348" s="3"/>
      <c r="CH348" s="3"/>
      <c r="CI348" s="3"/>
      <c r="CJ348" s="3"/>
      <c r="CK348" s="48"/>
      <c r="CL348" s="48"/>
      <c r="CM348" s="48"/>
      <c r="CN348" s="48"/>
      <c r="CO348" s="3"/>
      <c r="CP348" s="3"/>
      <c r="CQ348" s="3"/>
      <c r="CR348" s="3"/>
      <c r="CS348" s="3"/>
      <c r="CT348" s="3"/>
      <c r="CU348" s="3"/>
      <c r="CV348" s="3"/>
      <c r="CW348" s="3"/>
      <c r="CX348" s="4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</row>
    <row r="349" spans="13:115" ht="12.75"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48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4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48"/>
      <c r="CB349" s="48"/>
      <c r="CC349" s="48"/>
      <c r="CD349" s="3"/>
      <c r="CE349" s="3"/>
      <c r="CF349" s="3"/>
      <c r="CG349" s="3"/>
      <c r="CH349" s="3"/>
      <c r="CI349" s="3"/>
      <c r="CJ349" s="3"/>
      <c r="CK349" s="48"/>
      <c r="CL349" s="48"/>
      <c r="CM349" s="48"/>
      <c r="CN349" s="48"/>
      <c r="CO349" s="3"/>
      <c r="CP349" s="3"/>
      <c r="CQ349" s="3"/>
      <c r="CR349" s="3"/>
      <c r="CS349" s="3"/>
      <c r="CT349" s="3"/>
      <c r="CU349" s="3"/>
      <c r="CV349" s="3"/>
      <c r="CW349" s="3"/>
      <c r="CX349" s="4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</row>
    <row r="350" spans="13:115" ht="12.75"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48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4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48"/>
      <c r="CB350" s="48"/>
      <c r="CC350" s="48"/>
      <c r="CD350" s="3"/>
      <c r="CE350" s="3"/>
      <c r="CF350" s="3"/>
      <c r="CG350" s="3"/>
      <c r="CH350" s="3"/>
      <c r="CI350" s="3"/>
      <c r="CJ350" s="3"/>
      <c r="CK350" s="48"/>
      <c r="CL350" s="48"/>
      <c r="CM350" s="48"/>
      <c r="CN350" s="48"/>
      <c r="CO350" s="3"/>
      <c r="CP350" s="3"/>
      <c r="CQ350" s="3"/>
      <c r="CR350" s="3"/>
      <c r="CS350" s="3"/>
      <c r="CT350" s="3"/>
      <c r="CU350" s="3"/>
      <c r="CV350" s="3"/>
      <c r="CW350" s="3"/>
      <c r="CX350" s="4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</row>
    <row r="351" spans="13:115" ht="12.75"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48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4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48"/>
      <c r="CB351" s="48"/>
      <c r="CC351" s="48"/>
      <c r="CD351" s="3"/>
      <c r="CE351" s="3"/>
      <c r="CF351" s="3"/>
      <c r="CG351" s="3"/>
      <c r="CH351" s="3"/>
      <c r="CI351" s="3"/>
      <c r="CJ351" s="3"/>
      <c r="CK351" s="48"/>
      <c r="CL351" s="48"/>
      <c r="CM351" s="48"/>
      <c r="CN351" s="48"/>
      <c r="CO351" s="3"/>
      <c r="CP351" s="3"/>
      <c r="CQ351" s="3"/>
      <c r="CR351" s="3"/>
      <c r="CS351" s="3"/>
      <c r="CT351" s="3"/>
      <c r="CU351" s="3"/>
      <c r="CV351" s="3"/>
      <c r="CW351" s="3"/>
      <c r="CX351" s="4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</row>
    <row r="352" spans="13:115" ht="12.75"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48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4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48"/>
      <c r="CB352" s="48"/>
      <c r="CC352" s="48"/>
      <c r="CD352" s="3"/>
      <c r="CE352" s="3"/>
      <c r="CF352" s="3"/>
      <c r="CG352" s="3"/>
      <c r="CH352" s="3"/>
      <c r="CI352" s="3"/>
      <c r="CJ352" s="3"/>
      <c r="CK352" s="48"/>
      <c r="CL352" s="48"/>
      <c r="CM352" s="48"/>
      <c r="CN352" s="48"/>
      <c r="CO352" s="3"/>
      <c r="CP352" s="3"/>
      <c r="CQ352" s="3"/>
      <c r="CR352" s="3"/>
      <c r="CS352" s="3"/>
      <c r="CT352" s="3"/>
      <c r="CU352" s="3"/>
      <c r="CV352" s="3"/>
      <c r="CW352" s="3"/>
      <c r="CX352" s="4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</row>
    <row r="353" spans="13:115" ht="12.75"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48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4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48"/>
      <c r="CB353" s="48"/>
      <c r="CC353" s="48"/>
      <c r="CD353" s="3"/>
      <c r="CE353" s="3"/>
      <c r="CF353" s="3"/>
      <c r="CG353" s="3"/>
      <c r="CH353" s="3"/>
      <c r="CI353" s="3"/>
      <c r="CJ353" s="3"/>
      <c r="CK353" s="48"/>
      <c r="CL353" s="48"/>
      <c r="CM353" s="48"/>
      <c r="CN353" s="48"/>
      <c r="CO353" s="3"/>
      <c r="CP353" s="3"/>
      <c r="CQ353" s="3"/>
      <c r="CR353" s="3"/>
      <c r="CS353" s="3"/>
      <c r="CT353" s="3"/>
      <c r="CU353" s="3"/>
      <c r="CV353" s="3"/>
      <c r="CW353" s="3"/>
      <c r="CX353" s="4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</row>
    <row r="354" spans="13:115" ht="12.75"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48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4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48"/>
      <c r="CB354" s="48"/>
      <c r="CC354" s="48"/>
      <c r="CD354" s="3"/>
      <c r="CE354" s="3"/>
      <c r="CF354" s="3"/>
      <c r="CG354" s="3"/>
      <c r="CH354" s="3"/>
      <c r="CI354" s="3"/>
      <c r="CJ354" s="3"/>
      <c r="CK354" s="48"/>
      <c r="CL354" s="48"/>
      <c r="CM354" s="48"/>
      <c r="CN354" s="48"/>
      <c r="CO354" s="3"/>
      <c r="CP354" s="3"/>
      <c r="CQ354" s="3"/>
      <c r="CR354" s="3"/>
      <c r="CS354" s="3"/>
      <c r="CT354" s="3"/>
      <c r="CU354" s="3"/>
      <c r="CV354" s="3"/>
      <c r="CW354" s="3"/>
      <c r="CX354" s="4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</row>
    <row r="355" spans="13:115" ht="12.75"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48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4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48"/>
      <c r="CB355" s="48"/>
      <c r="CC355" s="48"/>
      <c r="CD355" s="3"/>
      <c r="CE355" s="3"/>
      <c r="CF355" s="3"/>
      <c r="CG355" s="3"/>
      <c r="CH355" s="3"/>
      <c r="CI355" s="3"/>
      <c r="CJ355" s="3"/>
      <c r="CK355" s="48"/>
      <c r="CL355" s="48"/>
      <c r="CM355" s="48"/>
      <c r="CN355" s="48"/>
      <c r="CO355" s="3"/>
      <c r="CP355" s="3"/>
      <c r="CQ355" s="3"/>
      <c r="CR355" s="3"/>
      <c r="CS355" s="3"/>
      <c r="CT355" s="3"/>
      <c r="CU355" s="3"/>
      <c r="CV355" s="3"/>
      <c r="CW355" s="3"/>
      <c r="CX355" s="4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</row>
    <row r="356" spans="13:115" ht="12.75"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48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4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48"/>
      <c r="CB356" s="48"/>
      <c r="CC356" s="48"/>
      <c r="CD356" s="3"/>
      <c r="CE356" s="3"/>
      <c r="CF356" s="3"/>
      <c r="CG356" s="3"/>
      <c r="CH356" s="3"/>
      <c r="CI356" s="3"/>
      <c r="CJ356" s="3"/>
      <c r="CK356" s="48"/>
      <c r="CL356" s="48"/>
      <c r="CM356" s="48"/>
      <c r="CN356" s="48"/>
      <c r="CO356" s="3"/>
      <c r="CP356" s="3"/>
      <c r="CQ356" s="3"/>
      <c r="CR356" s="3"/>
      <c r="CS356" s="3"/>
      <c r="CT356" s="3"/>
      <c r="CU356" s="3"/>
      <c r="CV356" s="3"/>
      <c r="CW356" s="3"/>
      <c r="CX356" s="4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</row>
    <row r="357" spans="13:115" ht="12.75"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48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4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48"/>
      <c r="CB357" s="48"/>
      <c r="CC357" s="48"/>
      <c r="CD357" s="3"/>
      <c r="CE357" s="3"/>
      <c r="CF357" s="3"/>
      <c r="CG357" s="3"/>
      <c r="CH357" s="3"/>
      <c r="CI357" s="3"/>
      <c r="CJ357" s="3"/>
      <c r="CK357" s="48"/>
      <c r="CL357" s="48"/>
      <c r="CM357" s="48"/>
      <c r="CN357" s="48"/>
      <c r="CO357" s="3"/>
      <c r="CP357" s="3"/>
      <c r="CQ357" s="3"/>
      <c r="CR357" s="3"/>
      <c r="CS357" s="3"/>
      <c r="CT357" s="3"/>
      <c r="CU357" s="3"/>
      <c r="CV357" s="3"/>
      <c r="CW357" s="3"/>
      <c r="CX357" s="4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</row>
    <row r="358" spans="13:115" ht="12.75"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48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4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48"/>
      <c r="CB358" s="48"/>
      <c r="CC358" s="48"/>
      <c r="CD358" s="3"/>
      <c r="CE358" s="3"/>
      <c r="CF358" s="3"/>
      <c r="CG358" s="3"/>
      <c r="CH358" s="3"/>
      <c r="CI358" s="3"/>
      <c r="CJ358" s="3"/>
      <c r="CK358" s="48"/>
      <c r="CL358" s="48"/>
      <c r="CM358" s="48"/>
      <c r="CN358" s="48"/>
      <c r="CO358" s="3"/>
      <c r="CP358" s="3"/>
      <c r="CQ358" s="3"/>
      <c r="CR358" s="3"/>
      <c r="CS358" s="3"/>
      <c r="CT358" s="3"/>
      <c r="CU358" s="3"/>
      <c r="CV358" s="3"/>
      <c r="CW358" s="3"/>
      <c r="CX358" s="4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</row>
    <row r="359" spans="13:115" ht="12.75"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48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4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48"/>
      <c r="CB359" s="48"/>
      <c r="CC359" s="48"/>
      <c r="CD359" s="3"/>
      <c r="CE359" s="3"/>
      <c r="CF359" s="3"/>
      <c r="CG359" s="3"/>
      <c r="CH359" s="3"/>
      <c r="CI359" s="3"/>
      <c r="CJ359" s="3"/>
      <c r="CK359" s="48"/>
      <c r="CL359" s="48"/>
      <c r="CM359" s="48"/>
      <c r="CN359" s="48"/>
      <c r="CO359" s="3"/>
      <c r="CP359" s="3"/>
      <c r="CQ359" s="3"/>
      <c r="CR359" s="3"/>
      <c r="CS359" s="3"/>
      <c r="CT359" s="3"/>
      <c r="CU359" s="3"/>
      <c r="CV359" s="3"/>
      <c r="CW359" s="3"/>
      <c r="CX359" s="4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</row>
    <row r="360" spans="13:115" ht="12.75"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48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4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48"/>
      <c r="CB360" s="48"/>
      <c r="CC360" s="48"/>
      <c r="CD360" s="3"/>
      <c r="CE360" s="3"/>
      <c r="CF360" s="3"/>
      <c r="CG360" s="3"/>
      <c r="CH360" s="3"/>
      <c r="CI360" s="3"/>
      <c r="CJ360" s="3"/>
      <c r="CK360" s="48"/>
      <c r="CL360" s="48"/>
      <c r="CM360" s="48"/>
      <c r="CN360" s="48"/>
      <c r="CO360" s="3"/>
      <c r="CP360" s="3"/>
      <c r="CQ360" s="3"/>
      <c r="CR360" s="3"/>
      <c r="CS360" s="3"/>
      <c r="CT360" s="3"/>
      <c r="CU360" s="3"/>
      <c r="CV360" s="3"/>
      <c r="CW360" s="3"/>
      <c r="CX360" s="4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</row>
    <row r="361" spans="13:115" ht="12.75"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48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4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48"/>
      <c r="CB361" s="48"/>
      <c r="CC361" s="48"/>
      <c r="CD361" s="3"/>
      <c r="CE361" s="3"/>
      <c r="CF361" s="3"/>
      <c r="CG361" s="3"/>
      <c r="CH361" s="3"/>
      <c r="CI361" s="3"/>
      <c r="CJ361" s="3"/>
      <c r="CK361" s="48"/>
      <c r="CL361" s="48"/>
      <c r="CM361" s="48"/>
      <c r="CN361" s="48"/>
      <c r="CO361" s="3"/>
      <c r="CP361" s="3"/>
      <c r="CQ361" s="3"/>
      <c r="CR361" s="3"/>
      <c r="CS361" s="3"/>
      <c r="CT361" s="3"/>
      <c r="CU361" s="3"/>
      <c r="CV361" s="3"/>
      <c r="CW361" s="3"/>
      <c r="CX361" s="4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</row>
    <row r="362" spans="13:115" ht="12.75"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48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4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48"/>
      <c r="CB362" s="48"/>
      <c r="CC362" s="48"/>
      <c r="CD362" s="3"/>
      <c r="CE362" s="3"/>
      <c r="CF362" s="3"/>
      <c r="CG362" s="3"/>
      <c r="CH362" s="3"/>
      <c r="CI362" s="3"/>
      <c r="CJ362" s="3"/>
      <c r="CK362" s="48"/>
      <c r="CL362" s="48"/>
      <c r="CM362" s="48"/>
      <c r="CN362" s="48"/>
      <c r="CO362" s="3"/>
      <c r="CP362" s="3"/>
      <c r="CQ362" s="3"/>
      <c r="CR362" s="3"/>
      <c r="CS362" s="3"/>
      <c r="CT362" s="3"/>
      <c r="CU362" s="3"/>
      <c r="CV362" s="3"/>
      <c r="CW362" s="3"/>
      <c r="CX362" s="4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</row>
    <row r="363" spans="13:115" ht="12.75"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48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4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48"/>
      <c r="CB363" s="48"/>
      <c r="CC363" s="48"/>
      <c r="CD363" s="3"/>
      <c r="CE363" s="3"/>
      <c r="CF363" s="3"/>
      <c r="CG363" s="3"/>
      <c r="CH363" s="3"/>
      <c r="CI363" s="3"/>
      <c r="CJ363" s="3"/>
      <c r="CK363" s="48"/>
      <c r="CL363" s="48"/>
      <c r="CM363" s="48"/>
      <c r="CN363" s="48"/>
      <c r="CO363" s="3"/>
      <c r="CP363" s="3"/>
      <c r="CQ363" s="3"/>
      <c r="CR363" s="3"/>
      <c r="CS363" s="3"/>
      <c r="CT363" s="3"/>
      <c r="CU363" s="3"/>
      <c r="CV363" s="3"/>
      <c r="CW363" s="3"/>
      <c r="CX363" s="4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</row>
    <row r="364" spans="13:115" ht="12.75"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48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4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48"/>
      <c r="CB364" s="48"/>
      <c r="CC364" s="48"/>
      <c r="CD364" s="3"/>
      <c r="CE364" s="3"/>
      <c r="CF364" s="3"/>
      <c r="CG364" s="3"/>
      <c r="CH364" s="3"/>
      <c r="CI364" s="3"/>
      <c r="CJ364" s="3"/>
      <c r="CK364" s="48"/>
      <c r="CL364" s="48"/>
      <c r="CM364" s="48"/>
      <c r="CN364" s="48"/>
      <c r="CO364" s="3"/>
      <c r="CP364" s="3"/>
      <c r="CQ364" s="3"/>
      <c r="CR364" s="3"/>
      <c r="CS364" s="3"/>
      <c r="CT364" s="3"/>
      <c r="CU364" s="3"/>
      <c r="CV364" s="3"/>
      <c r="CW364" s="3"/>
      <c r="CX364" s="4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</row>
    <row r="365" spans="13:115" ht="12.75"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48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4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48"/>
      <c r="CB365" s="48"/>
      <c r="CC365" s="48"/>
      <c r="CD365" s="3"/>
      <c r="CE365" s="3"/>
      <c r="CF365" s="3"/>
      <c r="CG365" s="3"/>
      <c r="CH365" s="3"/>
      <c r="CI365" s="3"/>
      <c r="CJ365" s="3"/>
      <c r="CK365" s="48"/>
      <c r="CL365" s="48"/>
      <c r="CM365" s="48"/>
      <c r="CN365" s="48"/>
      <c r="CO365" s="3"/>
      <c r="CP365" s="3"/>
      <c r="CQ365" s="3"/>
      <c r="CR365" s="3"/>
      <c r="CS365" s="3"/>
      <c r="CT365" s="3"/>
      <c r="CU365" s="3"/>
      <c r="CV365" s="3"/>
      <c r="CW365" s="3"/>
      <c r="CX365" s="4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</row>
    <row r="366" spans="13:115" ht="12.75"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48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4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48"/>
      <c r="CB366" s="48"/>
      <c r="CC366" s="48"/>
      <c r="CD366" s="3"/>
      <c r="CE366" s="3"/>
      <c r="CF366" s="3"/>
      <c r="CG366" s="3"/>
      <c r="CH366" s="3"/>
      <c r="CI366" s="3"/>
      <c r="CJ366" s="3"/>
      <c r="CK366" s="48"/>
      <c r="CL366" s="48"/>
      <c r="CM366" s="48"/>
      <c r="CN366" s="48"/>
      <c r="CO366" s="3"/>
      <c r="CP366" s="3"/>
      <c r="CQ366" s="3"/>
      <c r="CR366" s="3"/>
      <c r="CS366" s="3"/>
      <c r="CT366" s="3"/>
      <c r="CU366" s="3"/>
      <c r="CV366" s="3"/>
      <c r="CW366" s="3"/>
      <c r="CX366" s="4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</row>
    <row r="367" spans="13:115" ht="12.75"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48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4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48"/>
      <c r="CB367" s="48"/>
      <c r="CC367" s="48"/>
      <c r="CD367" s="3"/>
      <c r="CE367" s="3"/>
      <c r="CF367" s="3"/>
      <c r="CG367" s="3"/>
      <c r="CH367" s="3"/>
      <c r="CI367" s="3"/>
      <c r="CJ367" s="3"/>
      <c r="CK367" s="48"/>
      <c r="CL367" s="48"/>
      <c r="CM367" s="48"/>
      <c r="CN367" s="48"/>
      <c r="CO367" s="3"/>
      <c r="CP367" s="3"/>
      <c r="CQ367" s="3"/>
      <c r="CR367" s="3"/>
      <c r="CS367" s="3"/>
      <c r="CT367" s="3"/>
      <c r="CU367" s="3"/>
      <c r="CV367" s="3"/>
      <c r="CW367" s="3"/>
      <c r="CX367" s="4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</row>
    <row r="368" spans="13:115" ht="12.75"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48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4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48"/>
      <c r="CB368" s="48"/>
      <c r="CC368" s="48"/>
      <c r="CD368" s="3"/>
      <c r="CE368" s="3"/>
      <c r="CF368" s="3"/>
      <c r="CG368" s="3"/>
      <c r="CH368" s="3"/>
      <c r="CI368" s="3"/>
      <c r="CJ368" s="3"/>
      <c r="CK368" s="48"/>
      <c r="CL368" s="48"/>
      <c r="CM368" s="48"/>
      <c r="CN368" s="48"/>
      <c r="CO368" s="3"/>
      <c r="CP368" s="3"/>
      <c r="CQ368" s="3"/>
      <c r="CR368" s="3"/>
      <c r="CS368" s="3"/>
      <c r="CT368" s="3"/>
      <c r="CU368" s="3"/>
      <c r="CV368" s="3"/>
      <c r="CW368" s="3"/>
      <c r="CX368" s="4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</row>
    <row r="369" spans="13:115" ht="12.75"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48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4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48"/>
      <c r="CB369" s="48"/>
      <c r="CC369" s="48"/>
      <c r="CD369" s="3"/>
      <c r="CE369" s="3"/>
      <c r="CF369" s="3"/>
      <c r="CG369" s="3"/>
      <c r="CH369" s="3"/>
      <c r="CI369" s="3"/>
      <c r="CJ369" s="3"/>
      <c r="CK369" s="48"/>
      <c r="CL369" s="48"/>
      <c r="CM369" s="48"/>
      <c r="CN369" s="48"/>
      <c r="CO369" s="3"/>
      <c r="CP369" s="3"/>
      <c r="CQ369" s="3"/>
      <c r="CR369" s="3"/>
      <c r="CS369" s="3"/>
      <c r="CT369" s="3"/>
      <c r="CU369" s="3"/>
      <c r="CV369" s="3"/>
      <c r="CW369" s="3"/>
      <c r="CX369" s="4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</row>
    <row r="370" spans="13:115" ht="12.75"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48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4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48"/>
      <c r="CB370" s="48"/>
      <c r="CC370" s="48"/>
      <c r="CD370" s="3"/>
      <c r="CE370" s="3"/>
      <c r="CF370" s="3"/>
      <c r="CG370" s="3"/>
      <c r="CH370" s="3"/>
      <c r="CI370" s="3"/>
      <c r="CJ370" s="3"/>
      <c r="CK370" s="48"/>
      <c r="CL370" s="48"/>
      <c r="CM370" s="48"/>
      <c r="CN370" s="48"/>
      <c r="CO370" s="3"/>
      <c r="CP370" s="3"/>
      <c r="CQ370" s="3"/>
      <c r="CR370" s="3"/>
      <c r="CS370" s="3"/>
      <c r="CT370" s="3"/>
      <c r="CU370" s="3"/>
      <c r="CV370" s="3"/>
      <c r="CW370" s="3"/>
      <c r="CX370" s="4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</row>
    <row r="371" spans="13:115" ht="12.75"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48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4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48"/>
      <c r="CB371" s="48"/>
      <c r="CC371" s="48"/>
      <c r="CD371" s="3"/>
      <c r="CE371" s="3"/>
      <c r="CF371" s="3"/>
      <c r="CG371" s="3"/>
      <c r="CH371" s="3"/>
      <c r="CI371" s="3"/>
      <c r="CJ371" s="3"/>
      <c r="CK371" s="48"/>
      <c r="CL371" s="48"/>
      <c r="CM371" s="48"/>
      <c r="CN371" s="48"/>
      <c r="CO371" s="3"/>
      <c r="CP371" s="3"/>
      <c r="CQ371" s="3"/>
      <c r="CR371" s="3"/>
      <c r="CS371" s="3"/>
      <c r="CT371" s="3"/>
      <c r="CU371" s="3"/>
      <c r="CV371" s="3"/>
      <c r="CW371" s="3"/>
      <c r="CX371" s="4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</row>
    <row r="372" spans="13:115" ht="12.75"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48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4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48"/>
      <c r="CB372" s="48"/>
      <c r="CC372" s="48"/>
      <c r="CD372" s="3"/>
      <c r="CE372" s="3"/>
      <c r="CF372" s="3"/>
      <c r="CG372" s="3"/>
      <c r="CH372" s="3"/>
      <c r="CI372" s="3"/>
      <c r="CJ372" s="3"/>
      <c r="CK372" s="48"/>
      <c r="CL372" s="48"/>
      <c r="CM372" s="48"/>
      <c r="CN372" s="48"/>
      <c r="CO372" s="3"/>
      <c r="CP372" s="3"/>
      <c r="CQ372" s="3"/>
      <c r="CR372" s="3"/>
      <c r="CS372" s="3"/>
      <c r="CT372" s="3"/>
      <c r="CU372" s="3"/>
      <c r="CV372" s="3"/>
      <c r="CW372" s="3"/>
      <c r="CX372" s="4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</row>
    <row r="373" spans="13:115" ht="12.75"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48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4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48"/>
      <c r="CB373" s="48"/>
      <c r="CC373" s="48"/>
      <c r="CD373" s="3"/>
      <c r="CE373" s="3"/>
      <c r="CF373" s="3"/>
      <c r="CG373" s="3"/>
      <c r="CH373" s="3"/>
      <c r="CI373" s="3"/>
      <c r="CJ373" s="3"/>
      <c r="CK373" s="48"/>
      <c r="CL373" s="48"/>
      <c r="CM373" s="48"/>
      <c r="CN373" s="48"/>
      <c r="CO373" s="3"/>
      <c r="CP373" s="3"/>
      <c r="CQ373" s="3"/>
      <c r="CR373" s="3"/>
      <c r="CS373" s="3"/>
      <c r="CT373" s="3"/>
      <c r="CU373" s="3"/>
      <c r="CV373" s="3"/>
      <c r="CW373" s="3"/>
      <c r="CX373" s="4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</row>
    <row r="374" spans="13:115" ht="12.75"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48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4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48"/>
      <c r="CB374" s="48"/>
      <c r="CC374" s="48"/>
      <c r="CD374" s="3"/>
      <c r="CE374" s="3"/>
      <c r="CF374" s="3"/>
      <c r="CG374" s="3"/>
      <c r="CH374" s="3"/>
      <c r="CI374" s="3"/>
      <c r="CJ374" s="3"/>
      <c r="CK374" s="48"/>
      <c r="CL374" s="48"/>
      <c r="CM374" s="48"/>
      <c r="CN374" s="48"/>
      <c r="CO374" s="3"/>
      <c r="CP374" s="3"/>
      <c r="CQ374" s="3"/>
      <c r="CR374" s="3"/>
      <c r="CS374" s="3"/>
      <c r="CT374" s="3"/>
      <c r="CU374" s="3"/>
      <c r="CV374" s="3"/>
      <c r="CW374" s="3"/>
      <c r="CX374" s="4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</row>
    <row r="375" spans="13:115" ht="12.75"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48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4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48"/>
      <c r="CB375" s="48"/>
      <c r="CC375" s="48"/>
      <c r="CD375" s="3"/>
      <c r="CE375" s="3"/>
      <c r="CF375" s="3"/>
      <c r="CG375" s="3"/>
      <c r="CH375" s="3"/>
      <c r="CI375" s="3"/>
      <c r="CJ375" s="3"/>
      <c r="CK375" s="48"/>
      <c r="CL375" s="48"/>
      <c r="CM375" s="48"/>
      <c r="CN375" s="48"/>
      <c r="CO375" s="3"/>
      <c r="CP375" s="3"/>
      <c r="CQ375" s="3"/>
      <c r="CR375" s="3"/>
      <c r="CS375" s="3"/>
      <c r="CT375" s="3"/>
      <c r="CU375" s="3"/>
      <c r="CV375" s="3"/>
      <c r="CW375" s="3"/>
      <c r="CX375" s="4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</row>
    <row r="376" spans="13:115" ht="12.75"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48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4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48"/>
      <c r="CB376" s="48"/>
      <c r="CC376" s="48"/>
      <c r="CD376" s="3"/>
      <c r="CE376" s="3"/>
      <c r="CF376" s="3"/>
      <c r="CG376" s="3"/>
      <c r="CH376" s="3"/>
      <c r="CI376" s="3"/>
      <c r="CJ376" s="3"/>
      <c r="CK376" s="48"/>
      <c r="CL376" s="48"/>
      <c r="CM376" s="48"/>
      <c r="CN376" s="48"/>
      <c r="CO376" s="3"/>
      <c r="CP376" s="3"/>
      <c r="CQ376" s="3"/>
      <c r="CR376" s="3"/>
      <c r="CS376" s="3"/>
      <c r="CT376" s="3"/>
      <c r="CU376" s="3"/>
      <c r="CV376" s="3"/>
      <c r="CW376" s="3"/>
      <c r="CX376" s="4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</row>
    <row r="377" spans="13:115" ht="12.75"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48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4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48"/>
      <c r="CB377" s="48"/>
      <c r="CC377" s="48"/>
      <c r="CD377" s="3"/>
      <c r="CE377" s="3"/>
      <c r="CF377" s="3"/>
      <c r="CG377" s="3"/>
      <c r="CH377" s="3"/>
      <c r="CI377" s="3"/>
      <c r="CJ377" s="3"/>
      <c r="CK377" s="48"/>
      <c r="CL377" s="48"/>
      <c r="CM377" s="48"/>
      <c r="CN377" s="48"/>
      <c r="CO377" s="3"/>
      <c r="CP377" s="3"/>
      <c r="CQ377" s="3"/>
      <c r="CR377" s="3"/>
      <c r="CS377" s="3"/>
      <c r="CT377" s="3"/>
      <c r="CU377" s="3"/>
      <c r="CV377" s="3"/>
      <c r="CW377" s="3"/>
      <c r="CX377" s="4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</row>
    <row r="378" spans="13:115" ht="12.75"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48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4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48"/>
      <c r="CB378" s="48"/>
      <c r="CC378" s="48"/>
      <c r="CD378" s="3"/>
      <c r="CE378" s="3"/>
      <c r="CF378" s="3"/>
      <c r="CG378" s="3"/>
      <c r="CH378" s="3"/>
      <c r="CI378" s="3"/>
      <c r="CJ378" s="3"/>
      <c r="CK378" s="48"/>
      <c r="CL378" s="48"/>
      <c r="CM378" s="48"/>
      <c r="CN378" s="48"/>
      <c r="CO378" s="3"/>
      <c r="CP378" s="3"/>
      <c r="CQ378" s="3"/>
      <c r="CR378" s="3"/>
      <c r="CS378" s="3"/>
      <c r="CT378" s="3"/>
      <c r="CU378" s="3"/>
      <c r="CV378" s="3"/>
      <c r="CW378" s="3"/>
      <c r="CX378" s="4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</row>
    <row r="379" spans="13:115" ht="12.75"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48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4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48"/>
      <c r="CB379" s="48"/>
      <c r="CC379" s="48"/>
      <c r="CD379" s="3"/>
      <c r="CE379" s="3"/>
      <c r="CF379" s="3"/>
      <c r="CG379" s="3"/>
      <c r="CH379" s="3"/>
      <c r="CI379" s="3"/>
      <c r="CJ379" s="3"/>
      <c r="CK379" s="48"/>
      <c r="CL379" s="48"/>
      <c r="CM379" s="48"/>
      <c r="CN379" s="48"/>
      <c r="CO379" s="3"/>
      <c r="CP379" s="3"/>
      <c r="CQ379" s="3"/>
      <c r="CR379" s="3"/>
      <c r="CS379" s="3"/>
      <c r="CT379" s="3"/>
      <c r="CU379" s="3"/>
      <c r="CV379" s="3"/>
      <c r="CW379" s="3"/>
      <c r="CX379" s="4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</row>
    <row r="380" spans="13:115" ht="12.75"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48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4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48"/>
      <c r="CB380" s="48"/>
      <c r="CC380" s="48"/>
      <c r="CD380" s="3"/>
      <c r="CE380" s="3"/>
      <c r="CF380" s="3"/>
      <c r="CG380" s="3"/>
      <c r="CH380" s="3"/>
      <c r="CI380" s="3"/>
      <c r="CJ380" s="3"/>
      <c r="CK380" s="48"/>
      <c r="CL380" s="48"/>
      <c r="CM380" s="48"/>
      <c r="CN380" s="48"/>
      <c r="CO380" s="3"/>
      <c r="CP380" s="3"/>
      <c r="CQ380" s="3"/>
      <c r="CR380" s="3"/>
      <c r="CS380" s="3"/>
      <c r="CT380" s="3"/>
      <c r="CU380" s="3"/>
      <c r="CV380" s="3"/>
      <c r="CW380" s="3"/>
      <c r="CX380" s="4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</row>
    <row r="381" spans="13:115" ht="12.75"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48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4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48"/>
      <c r="CB381" s="48"/>
      <c r="CC381" s="48"/>
      <c r="CD381" s="3"/>
      <c r="CE381" s="3"/>
      <c r="CF381" s="3"/>
      <c r="CG381" s="3"/>
      <c r="CH381" s="3"/>
      <c r="CI381" s="3"/>
      <c r="CJ381" s="3"/>
      <c r="CK381" s="48"/>
      <c r="CL381" s="48"/>
      <c r="CM381" s="48"/>
      <c r="CN381" s="48"/>
      <c r="CO381" s="3"/>
      <c r="CP381" s="3"/>
      <c r="CQ381" s="3"/>
      <c r="CR381" s="3"/>
      <c r="CS381" s="3"/>
      <c r="CT381" s="3"/>
      <c r="CU381" s="3"/>
      <c r="CV381" s="3"/>
      <c r="CW381" s="3"/>
      <c r="CX381" s="4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</row>
    <row r="382" spans="13:115" ht="12.75"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48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4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48"/>
      <c r="CB382" s="48"/>
      <c r="CC382" s="48"/>
      <c r="CD382" s="3"/>
      <c r="CE382" s="3"/>
      <c r="CF382" s="3"/>
      <c r="CG382" s="3"/>
      <c r="CH382" s="3"/>
      <c r="CI382" s="3"/>
      <c r="CJ382" s="3"/>
      <c r="CK382" s="48"/>
      <c r="CL382" s="48"/>
      <c r="CM382" s="48"/>
      <c r="CN382" s="48"/>
      <c r="CO382" s="3"/>
      <c r="CP382" s="3"/>
      <c r="CQ382" s="3"/>
      <c r="CR382" s="3"/>
      <c r="CS382" s="3"/>
      <c r="CT382" s="3"/>
      <c r="CU382" s="3"/>
      <c r="CV382" s="3"/>
      <c r="CW382" s="3"/>
      <c r="CX382" s="4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</row>
    <row r="383" spans="13:115" ht="12.75"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48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4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48"/>
      <c r="CB383" s="48"/>
      <c r="CC383" s="48"/>
      <c r="CD383" s="3"/>
      <c r="CE383" s="3"/>
      <c r="CF383" s="3"/>
      <c r="CG383" s="3"/>
      <c r="CH383" s="3"/>
      <c r="CI383" s="3"/>
      <c r="CJ383" s="3"/>
      <c r="CK383" s="48"/>
      <c r="CL383" s="48"/>
      <c r="CM383" s="48"/>
      <c r="CN383" s="48"/>
      <c r="CO383" s="3"/>
      <c r="CP383" s="3"/>
      <c r="CQ383" s="3"/>
      <c r="CR383" s="3"/>
      <c r="CS383" s="3"/>
      <c r="CT383" s="3"/>
      <c r="CU383" s="3"/>
      <c r="CV383" s="3"/>
      <c r="CW383" s="3"/>
      <c r="CX383" s="4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</row>
    <row r="384" spans="13:115" ht="12.75"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48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4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48"/>
      <c r="CB384" s="48"/>
      <c r="CC384" s="48"/>
      <c r="CD384" s="3"/>
      <c r="CE384" s="3"/>
      <c r="CF384" s="3"/>
      <c r="CG384" s="3"/>
      <c r="CH384" s="3"/>
      <c r="CI384" s="3"/>
      <c r="CJ384" s="3"/>
      <c r="CK384" s="48"/>
      <c r="CL384" s="48"/>
      <c r="CM384" s="48"/>
      <c r="CN384" s="48"/>
      <c r="CO384" s="3"/>
      <c r="CP384" s="3"/>
      <c r="CQ384" s="3"/>
      <c r="CR384" s="3"/>
      <c r="CS384" s="3"/>
      <c r="CT384" s="3"/>
      <c r="CU384" s="3"/>
      <c r="CV384" s="3"/>
      <c r="CW384" s="3"/>
      <c r="CX384" s="4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</row>
    <row r="385" spans="13:115" ht="12.75"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48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4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48"/>
      <c r="CB385" s="48"/>
      <c r="CC385" s="48"/>
      <c r="CD385" s="3"/>
      <c r="CE385" s="3"/>
      <c r="CF385" s="3"/>
      <c r="CG385" s="3"/>
      <c r="CH385" s="3"/>
      <c r="CI385" s="3"/>
      <c r="CJ385" s="3"/>
      <c r="CK385" s="48"/>
      <c r="CL385" s="48"/>
      <c r="CM385" s="48"/>
      <c r="CN385" s="48"/>
      <c r="CO385" s="3"/>
      <c r="CP385" s="3"/>
      <c r="CQ385" s="3"/>
      <c r="CR385" s="3"/>
      <c r="CS385" s="3"/>
      <c r="CT385" s="3"/>
      <c r="CU385" s="3"/>
      <c r="CV385" s="3"/>
      <c r="CW385" s="3"/>
      <c r="CX385" s="4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</row>
    <row r="386" spans="13:115" ht="12.75"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48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4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48"/>
      <c r="CB386" s="48"/>
      <c r="CC386" s="48"/>
      <c r="CD386" s="3"/>
      <c r="CE386" s="3"/>
      <c r="CF386" s="3"/>
      <c r="CG386" s="3"/>
      <c r="CH386" s="3"/>
      <c r="CI386" s="3"/>
      <c r="CJ386" s="3"/>
      <c r="CK386" s="48"/>
      <c r="CL386" s="48"/>
      <c r="CM386" s="48"/>
      <c r="CN386" s="48"/>
      <c r="CO386" s="3"/>
      <c r="CP386" s="3"/>
      <c r="CQ386" s="3"/>
      <c r="CR386" s="3"/>
      <c r="CS386" s="3"/>
      <c r="CT386" s="3"/>
      <c r="CU386" s="3"/>
      <c r="CV386" s="3"/>
      <c r="CW386" s="3"/>
      <c r="CX386" s="4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</row>
    <row r="387" spans="13:115" ht="12.75"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48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4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48"/>
      <c r="CB387" s="48"/>
      <c r="CC387" s="48"/>
      <c r="CD387" s="3"/>
      <c r="CE387" s="3"/>
      <c r="CF387" s="3"/>
      <c r="CG387" s="3"/>
      <c r="CH387" s="3"/>
      <c r="CI387" s="3"/>
      <c r="CJ387" s="3"/>
      <c r="CK387" s="48"/>
      <c r="CL387" s="48"/>
      <c r="CM387" s="48"/>
      <c r="CN387" s="48"/>
      <c r="CO387" s="3"/>
      <c r="CP387" s="3"/>
      <c r="CQ387" s="3"/>
      <c r="CR387" s="3"/>
      <c r="CS387" s="3"/>
      <c r="CT387" s="3"/>
      <c r="CU387" s="3"/>
      <c r="CV387" s="3"/>
      <c r="CW387" s="3"/>
      <c r="CX387" s="4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</row>
    <row r="388" spans="13:115" ht="12.75"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48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4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48"/>
      <c r="CB388" s="48"/>
      <c r="CC388" s="48"/>
      <c r="CD388" s="3"/>
      <c r="CE388" s="3"/>
      <c r="CF388" s="3"/>
      <c r="CG388" s="3"/>
      <c r="CH388" s="3"/>
      <c r="CI388" s="3"/>
      <c r="CJ388" s="3"/>
      <c r="CK388" s="48"/>
      <c r="CL388" s="48"/>
      <c r="CM388" s="48"/>
      <c r="CN388" s="48"/>
      <c r="CO388" s="3"/>
      <c r="CP388" s="3"/>
      <c r="CQ388" s="3"/>
      <c r="CR388" s="3"/>
      <c r="CS388" s="3"/>
      <c r="CT388" s="3"/>
      <c r="CU388" s="3"/>
      <c r="CV388" s="3"/>
      <c r="CW388" s="3"/>
      <c r="CX388" s="4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</row>
    <row r="389" spans="13:115" ht="12.75"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48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4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48"/>
      <c r="CB389" s="48"/>
      <c r="CC389" s="48"/>
      <c r="CD389" s="3"/>
      <c r="CE389" s="3"/>
      <c r="CF389" s="3"/>
      <c r="CG389" s="3"/>
      <c r="CH389" s="3"/>
      <c r="CI389" s="3"/>
      <c r="CJ389" s="3"/>
      <c r="CK389" s="48"/>
      <c r="CL389" s="48"/>
      <c r="CM389" s="48"/>
      <c r="CN389" s="48"/>
      <c r="CO389" s="3"/>
      <c r="CP389" s="3"/>
      <c r="CQ389" s="3"/>
      <c r="CR389" s="3"/>
      <c r="CS389" s="3"/>
      <c r="CT389" s="3"/>
      <c r="CU389" s="3"/>
      <c r="CV389" s="3"/>
      <c r="CW389" s="3"/>
      <c r="CX389" s="4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</row>
    <row r="390" spans="13:115" ht="12.75"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48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4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48"/>
      <c r="CB390" s="48"/>
      <c r="CC390" s="48"/>
      <c r="CD390" s="3"/>
      <c r="CE390" s="3"/>
      <c r="CF390" s="3"/>
      <c r="CG390" s="3"/>
      <c r="CH390" s="3"/>
      <c r="CI390" s="3"/>
      <c r="CJ390" s="3"/>
      <c r="CK390" s="48"/>
      <c r="CL390" s="48"/>
      <c r="CM390" s="48"/>
      <c r="CN390" s="48"/>
      <c r="CO390" s="3"/>
      <c r="CP390" s="3"/>
      <c r="CQ390" s="3"/>
      <c r="CR390" s="3"/>
      <c r="CS390" s="3"/>
      <c r="CT390" s="3"/>
      <c r="CU390" s="3"/>
      <c r="CV390" s="3"/>
      <c r="CW390" s="3"/>
      <c r="CX390" s="4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</row>
    <row r="391" spans="13:115" ht="12.75"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48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4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48"/>
      <c r="CB391" s="48"/>
      <c r="CC391" s="48"/>
      <c r="CD391" s="3"/>
      <c r="CE391" s="3"/>
      <c r="CF391" s="3"/>
      <c r="CG391" s="3"/>
      <c r="CH391" s="3"/>
      <c r="CI391" s="3"/>
      <c r="CJ391" s="3"/>
      <c r="CK391" s="48"/>
      <c r="CL391" s="48"/>
      <c r="CM391" s="48"/>
      <c r="CN391" s="48"/>
      <c r="CO391" s="3"/>
      <c r="CP391" s="3"/>
      <c r="CQ391" s="3"/>
      <c r="CR391" s="3"/>
      <c r="CS391" s="3"/>
      <c r="CT391" s="3"/>
      <c r="CU391" s="3"/>
      <c r="CV391" s="3"/>
      <c r="CW391" s="3"/>
      <c r="CX391" s="4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</row>
    <row r="392" spans="13:115" ht="12.75"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48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4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48"/>
      <c r="CB392" s="48"/>
      <c r="CC392" s="48"/>
      <c r="CD392" s="3"/>
      <c r="CE392" s="3"/>
      <c r="CF392" s="3"/>
      <c r="CG392" s="3"/>
      <c r="CH392" s="3"/>
      <c r="CI392" s="3"/>
      <c r="CJ392" s="3"/>
      <c r="CK392" s="48"/>
      <c r="CL392" s="48"/>
      <c r="CM392" s="48"/>
      <c r="CN392" s="48"/>
      <c r="CO392" s="3"/>
      <c r="CP392" s="3"/>
      <c r="CQ392" s="3"/>
      <c r="CR392" s="3"/>
      <c r="CS392" s="3"/>
      <c r="CT392" s="3"/>
      <c r="CU392" s="3"/>
      <c r="CV392" s="3"/>
      <c r="CW392" s="3"/>
      <c r="CX392" s="4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</row>
    <row r="393" spans="13:115" ht="12.75"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48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4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48"/>
      <c r="CB393" s="48"/>
      <c r="CC393" s="48"/>
      <c r="CD393" s="3"/>
      <c r="CE393" s="3"/>
      <c r="CF393" s="3"/>
      <c r="CG393" s="3"/>
      <c r="CH393" s="3"/>
      <c r="CI393" s="3"/>
      <c r="CJ393" s="3"/>
      <c r="CK393" s="48"/>
      <c r="CL393" s="48"/>
      <c r="CM393" s="48"/>
      <c r="CN393" s="48"/>
      <c r="CO393" s="3"/>
      <c r="CP393" s="3"/>
      <c r="CQ393" s="3"/>
      <c r="CR393" s="3"/>
      <c r="CS393" s="3"/>
      <c r="CT393" s="3"/>
      <c r="CU393" s="3"/>
      <c r="CV393" s="3"/>
      <c r="CW393" s="3"/>
      <c r="CX393" s="4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</row>
    <row r="394" spans="13:115" ht="12.75"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48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4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48"/>
      <c r="CB394" s="48"/>
      <c r="CC394" s="48"/>
      <c r="CD394" s="3"/>
      <c r="CE394" s="3"/>
      <c r="CF394" s="3"/>
      <c r="CG394" s="3"/>
      <c r="CH394" s="3"/>
      <c r="CI394" s="3"/>
      <c r="CJ394" s="3"/>
      <c r="CK394" s="48"/>
      <c r="CL394" s="48"/>
      <c r="CM394" s="48"/>
      <c r="CN394" s="48"/>
      <c r="CO394" s="3"/>
      <c r="CP394" s="3"/>
      <c r="CQ394" s="3"/>
      <c r="CR394" s="3"/>
      <c r="CS394" s="3"/>
      <c r="CT394" s="3"/>
      <c r="CU394" s="3"/>
      <c r="CV394" s="3"/>
      <c r="CW394" s="3"/>
      <c r="CX394" s="4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</row>
    <row r="395" spans="13:115" ht="12.75"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48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4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48"/>
      <c r="CB395" s="48"/>
      <c r="CC395" s="48"/>
      <c r="CD395" s="3"/>
      <c r="CE395" s="3"/>
      <c r="CF395" s="3"/>
      <c r="CG395" s="3"/>
      <c r="CH395" s="3"/>
      <c r="CI395" s="3"/>
      <c r="CJ395" s="3"/>
      <c r="CK395" s="48"/>
      <c r="CL395" s="48"/>
      <c r="CM395" s="48"/>
      <c r="CN395" s="48"/>
      <c r="CO395" s="3"/>
      <c r="CP395" s="3"/>
      <c r="CQ395" s="3"/>
      <c r="CR395" s="3"/>
      <c r="CS395" s="3"/>
      <c r="CT395" s="3"/>
      <c r="CU395" s="3"/>
      <c r="CV395" s="3"/>
      <c r="CW395" s="3"/>
      <c r="CX395" s="4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</row>
    <row r="396" spans="13:115" ht="12.75"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48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4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48"/>
      <c r="CB396" s="48"/>
      <c r="CC396" s="48"/>
      <c r="CD396" s="3"/>
      <c r="CE396" s="3"/>
      <c r="CF396" s="3"/>
      <c r="CG396" s="3"/>
      <c r="CH396" s="3"/>
      <c r="CI396" s="3"/>
      <c r="CJ396" s="3"/>
      <c r="CK396" s="48"/>
      <c r="CL396" s="48"/>
      <c r="CM396" s="48"/>
      <c r="CN396" s="48"/>
      <c r="CO396" s="3"/>
      <c r="CP396" s="3"/>
      <c r="CQ396" s="3"/>
      <c r="CR396" s="3"/>
      <c r="CS396" s="3"/>
      <c r="CT396" s="3"/>
      <c r="CU396" s="3"/>
      <c r="CV396" s="3"/>
      <c r="CW396" s="3"/>
      <c r="CX396" s="4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</row>
    <row r="397" spans="13:115" ht="12.75"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48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4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48"/>
      <c r="CB397" s="48"/>
      <c r="CC397" s="48"/>
      <c r="CD397" s="3"/>
      <c r="CE397" s="3"/>
      <c r="CF397" s="3"/>
      <c r="CG397" s="3"/>
      <c r="CH397" s="3"/>
      <c r="CI397" s="3"/>
      <c r="CJ397" s="3"/>
      <c r="CK397" s="48"/>
      <c r="CL397" s="48"/>
      <c r="CM397" s="48"/>
      <c r="CN397" s="48"/>
      <c r="CO397" s="3"/>
      <c r="CP397" s="3"/>
      <c r="CQ397" s="3"/>
      <c r="CR397" s="3"/>
      <c r="CS397" s="3"/>
      <c r="CT397" s="3"/>
      <c r="CU397" s="3"/>
      <c r="CV397" s="3"/>
      <c r="CW397" s="3"/>
      <c r="CX397" s="4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</row>
    <row r="398" spans="13:115" ht="12.75"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48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4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48"/>
      <c r="CB398" s="48"/>
      <c r="CC398" s="48"/>
      <c r="CD398" s="3"/>
      <c r="CE398" s="3"/>
      <c r="CF398" s="3"/>
      <c r="CG398" s="3"/>
      <c r="CH398" s="3"/>
      <c r="CI398" s="3"/>
      <c r="CJ398" s="3"/>
      <c r="CK398" s="48"/>
      <c r="CL398" s="48"/>
      <c r="CM398" s="48"/>
      <c r="CN398" s="48"/>
      <c r="CO398" s="3"/>
      <c r="CP398" s="3"/>
      <c r="CQ398" s="3"/>
      <c r="CR398" s="3"/>
      <c r="CS398" s="3"/>
      <c r="CT398" s="3"/>
      <c r="CU398" s="3"/>
      <c r="CV398" s="3"/>
      <c r="CW398" s="3"/>
      <c r="CX398" s="4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</row>
    <row r="399" spans="13:115" ht="12.75"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48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4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48"/>
      <c r="CB399" s="48"/>
      <c r="CC399" s="48"/>
      <c r="CD399" s="3"/>
      <c r="CE399" s="3"/>
      <c r="CF399" s="3"/>
      <c r="CG399" s="3"/>
      <c r="CH399" s="3"/>
      <c r="CI399" s="3"/>
      <c r="CJ399" s="3"/>
      <c r="CK399" s="48"/>
      <c r="CL399" s="48"/>
      <c r="CM399" s="48"/>
      <c r="CN399" s="48"/>
      <c r="CO399" s="3"/>
      <c r="CP399" s="3"/>
      <c r="CQ399" s="3"/>
      <c r="CR399" s="3"/>
      <c r="CS399" s="3"/>
      <c r="CT399" s="3"/>
      <c r="CU399" s="3"/>
      <c r="CV399" s="3"/>
      <c r="CW399" s="3"/>
      <c r="CX399" s="4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</row>
    <row r="400" spans="13:115" ht="12.75"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48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4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48"/>
      <c r="CB400" s="48"/>
      <c r="CC400" s="48"/>
      <c r="CD400" s="3"/>
      <c r="CE400" s="3"/>
      <c r="CF400" s="3"/>
      <c r="CG400" s="3"/>
      <c r="CH400" s="3"/>
      <c r="CI400" s="3"/>
      <c r="CJ400" s="3"/>
      <c r="CK400" s="48"/>
      <c r="CL400" s="48"/>
      <c r="CM400" s="48"/>
      <c r="CN400" s="48"/>
      <c r="CO400" s="3"/>
      <c r="CP400" s="3"/>
      <c r="CQ400" s="3"/>
      <c r="CR400" s="3"/>
      <c r="CS400" s="3"/>
      <c r="CT400" s="3"/>
      <c r="CU400" s="3"/>
      <c r="CV400" s="3"/>
      <c r="CW400" s="3"/>
      <c r="CX400" s="4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</row>
    <row r="401" spans="13:115" ht="12.75"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48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4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48"/>
      <c r="CB401" s="48"/>
      <c r="CC401" s="48"/>
      <c r="CD401" s="3"/>
      <c r="CE401" s="3"/>
      <c r="CF401" s="3"/>
      <c r="CG401" s="3"/>
      <c r="CH401" s="3"/>
      <c r="CI401" s="3"/>
      <c r="CJ401" s="3"/>
      <c r="CK401" s="48"/>
      <c r="CL401" s="48"/>
      <c r="CM401" s="48"/>
      <c r="CN401" s="48"/>
      <c r="CO401" s="3"/>
      <c r="CP401" s="3"/>
      <c r="CQ401" s="3"/>
      <c r="CR401" s="3"/>
      <c r="CS401" s="3"/>
      <c r="CT401" s="3"/>
      <c r="CU401" s="3"/>
      <c r="CV401" s="3"/>
      <c r="CW401" s="3"/>
      <c r="CX401" s="4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</row>
    <row r="402" spans="13:115" ht="12.75"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48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4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48"/>
      <c r="CB402" s="48"/>
      <c r="CC402" s="48"/>
      <c r="CD402" s="3"/>
      <c r="CE402" s="3"/>
      <c r="CF402" s="3"/>
      <c r="CG402" s="3"/>
      <c r="CH402" s="3"/>
      <c r="CI402" s="3"/>
      <c r="CJ402" s="3"/>
      <c r="CK402" s="48"/>
      <c r="CL402" s="48"/>
      <c r="CM402" s="48"/>
      <c r="CN402" s="48"/>
      <c r="CO402" s="3"/>
      <c r="CP402" s="3"/>
      <c r="CQ402" s="3"/>
      <c r="CR402" s="3"/>
      <c r="CS402" s="3"/>
      <c r="CT402" s="3"/>
      <c r="CU402" s="3"/>
      <c r="CV402" s="3"/>
      <c r="CW402" s="3"/>
      <c r="CX402" s="4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</row>
    <row r="403" spans="13:115" ht="12.75"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48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4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48"/>
      <c r="CB403" s="48"/>
      <c r="CC403" s="48"/>
      <c r="CD403" s="3"/>
      <c r="CE403" s="3"/>
      <c r="CF403" s="3"/>
      <c r="CG403" s="3"/>
      <c r="CH403" s="3"/>
      <c r="CI403" s="3"/>
      <c r="CJ403" s="3"/>
      <c r="CK403" s="48"/>
      <c r="CL403" s="48"/>
      <c r="CM403" s="48"/>
      <c r="CN403" s="48"/>
      <c r="CO403" s="3"/>
      <c r="CP403" s="3"/>
      <c r="CQ403" s="3"/>
      <c r="CR403" s="3"/>
      <c r="CS403" s="3"/>
      <c r="CT403" s="3"/>
      <c r="CU403" s="3"/>
      <c r="CV403" s="3"/>
      <c r="CW403" s="3"/>
      <c r="CX403" s="4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</row>
    <row r="404" spans="13:115" ht="12.75"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48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4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48"/>
      <c r="CB404" s="48"/>
      <c r="CC404" s="48"/>
      <c r="CD404" s="3"/>
      <c r="CE404" s="3"/>
      <c r="CF404" s="3"/>
      <c r="CG404" s="3"/>
      <c r="CH404" s="3"/>
      <c r="CI404" s="3"/>
      <c r="CJ404" s="3"/>
      <c r="CK404" s="48"/>
      <c r="CL404" s="48"/>
      <c r="CM404" s="48"/>
      <c r="CN404" s="48"/>
      <c r="CO404" s="3"/>
      <c r="CP404" s="3"/>
      <c r="CQ404" s="3"/>
      <c r="CR404" s="3"/>
      <c r="CS404" s="3"/>
      <c r="CT404" s="3"/>
      <c r="CU404" s="3"/>
      <c r="CV404" s="3"/>
      <c r="CW404" s="3"/>
      <c r="CX404" s="4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</row>
    <row r="405" spans="13:115" ht="12.75"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48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4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48"/>
      <c r="CB405" s="48"/>
      <c r="CC405" s="48"/>
      <c r="CD405" s="3"/>
      <c r="CE405" s="3"/>
      <c r="CF405" s="3"/>
      <c r="CG405" s="3"/>
      <c r="CH405" s="3"/>
      <c r="CI405" s="3"/>
      <c r="CJ405" s="3"/>
      <c r="CK405" s="48"/>
      <c r="CL405" s="48"/>
      <c r="CM405" s="48"/>
      <c r="CN405" s="48"/>
      <c r="CO405" s="3"/>
      <c r="CP405" s="3"/>
      <c r="CQ405" s="3"/>
      <c r="CR405" s="3"/>
      <c r="CS405" s="3"/>
      <c r="CT405" s="3"/>
      <c r="CU405" s="3"/>
      <c r="CV405" s="3"/>
      <c r="CW405" s="3"/>
      <c r="CX405" s="4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</row>
    <row r="406" spans="13:115" ht="12.75"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48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4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48"/>
      <c r="CB406" s="48"/>
      <c r="CC406" s="48"/>
      <c r="CD406" s="3"/>
      <c r="CE406" s="3"/>
      <c r="CF406" s="3"/>
      <c r="CG406" s="3"/>
      <c r="CH406" s="3"/>
      <c r="CI406" s="3"/>
      <c r="CJ406" s="3"/>
      <c r="CK406" s="48"/>
      <c r="CL406" s="48"/>
      <c r="CM406" s="48"/>
      <c r="CN406" s="48"/>
      <c r="CO406" s="3"/>
      <c r="CP406" s="3"/>
      <c r="CQ406" s="3"/>
      <c r="CR406" s="3"/>
      <c r="CS406" s="3"/>
      <c r="CT406" s="3"/>
      <c r="CU406" s="3"/>
      <c r="CV406" s="3"/>
      <c r="CW406" s="3"/>
      <c r="CX406" s="4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</row>
    <row r="407" spans="13:115" ht="12.75"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48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4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48"/>
      <c r="CB407" s="48"/>
      <c r="CC407" s="48"/>
      <c r="CD407" s="3"/>
      <c r="CE407" s="3"/>
      <c r="CF407" s="3"/>
      <c r="CG407" s="3"/>
      <c r="CH407" s="3"/>
      <c r="CI407" s="3"/>
      <c r="CJ407" s="3"/>
      <c r="CK407" s="48"/>
      <c r="CL407" s="48"/>
      <c r="CM407" s="48"/>
      <c r="CN407" s="48"/>
      <c r="CO407" s="3"/>
      <c r="CP407" s="3"/>
      <c r="CQ407" s="3"/>
      <c r="CR407" s="3"/>
      <c r="CS407" s="3"/>
      <c r="CT407" s="3"/>
      <c r="CU407" s="3"/>
      <c r="CV407" s="3"/>
      <c r="CW407" s="3"/>
      <c r="CX407" s="4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</row>
    <row r="408" spans="13:115" ht="12.75"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48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4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48"/>
      <c r="CB408" s="48"/>
      <c r="CC408" s="48"/>
      <c r="CD408" s="3"/>
      <c r="CE408" s="3"/>
      <c r="CF408" s="3"/>
      <c r="CG408" s="3"/>
      <c r="CH408" s="3"/>
      <c r="CI408" s="3"/>
      <c r="CJ408" s="3"/>
      <c r="CK408" s="48"/>
      <c r="CL408" s="48"/>
      <c r="CM408" s="48"/>
      <c r="CN408" s="48"/>
      <c r="CO408" s="3"/>
      <c r="CP408" s="3"/>
      <c r="CQ408" s="3"/>
      <c r="CR408" s="3"/>
      <c r="CS408" s="3"/>
      <c r="CT408" s="3"/>
      <c r="CU408" s="3"/>
      <c r="CV408" s="3"/>
      <c r="CW408" s="3"/>
      <c r="CX408" s="4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</row>
    <row r="409" spans="13:115" ht="12.75"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48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4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48"/>
      <c r="CB409" s="48"/>
      <c r="CC409" s="48"/>
      <c r="CD409" s="3"/>
      <c r="CE409" s="3"/>
      <c r="CF409" s="3"/>
      <c r="CG409" s="3"/>
      <c r="CH409" s="3"/>
      <c r="CI409" s="3"/>
      <c r="CJ409" s="3"/>
      <c r="CK409" s="48"/>
      <c r="CL409" s="48"/>
      <c r="CM409" s="48"/>
      <c r="CN409" s="48"/>
      <c r="CO409" s="3"/>
      <c r="CP409" s="3"/>
      <c r="CQ409" s="3"/>
      <c r="CR409" s="3"/>
      <c r="CS409" s="3"/>
      <c r="CT409" s="3"/>
      <c r="CU409" s="3"/>
      <c r="CV409" s="3"/>
      <c r="CW409" s="3"/>
      <c r="CX409" s="4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</row>
    <row r="410" spans="13:115" ht="12.75"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48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4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48"/>
      <c r="CB410" s="48"/>
      <c r="CC410" s="48"/>
      <c r="CD410" s="3"/>
      <c r="CE410" s="3"/>
      <c r="CF410" s="3"/>
      <c r="CG410" s="3"/>
      <c r="CH410" s="3"/>
      <c r="CI410" s="3"/>
      <c r="CJ410" s="3"/>
      <c r="CK410" s="48"/>
      <c r="CL410" s="48"/>
      <c r="CM410" s="48"/>
      <c r="CN410" s="48"/>
      <c r="CO410" s="3"/>
      <c r="CP410" s="3"/>
      <c r="CQ410" s="3"/>
      <c r="CR410" s="3"/>
      <c r="CS410" s="3"/>
      <c r="CT410" s="3"/>
      <c r="CU410" s="3"/>
      <c r="CV410" s="3"/>
      <c r="CW410" s="3"/>
      <c r="CX410" s="4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</row>
    <row r="411" spans="13:115" ht="12.75"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48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4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48"/>
      <c r="CB411" s="48"/>
      <c r="CC411" s="48"/>
      <c r="CD411" s="3"/>
      <c r="CE411" s="3"/>
      <c r="CF411" s="3"/>
      <c r="CG411" s="3"/>
      <c r="CH411" s="3"/>
      <c r="CI411" s="3"/>
      <c r="CJ411" s="3"/>
      <c r="CK411" s="48"/>
      <c r="CL411" s="48"/>
      <c r="CM411" s="48"/>
      <c r="CN411" s="48"/>
      <c r="CO411" s="3"/>
      <c r="CP411" s="3"/>
      <c r="CQ411" s="3"/>
      <c r="CR411" s="3"/>
      <c r="CS411" s="3"/>
      <c r="CT411" s="3"/>
      <c r="CU411" s="3"/>
      <c r="CV411" s="3"/>
      <c r="CW411" s="3"/>
      <c r="CX411" s="4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</row>
    <row r="412" spans="13:115" ht="12.75"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48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4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48"/>
      <c r="CB412" s="48"/>
      <c r="CC412" s="48"/>
      <c r="CD412" s="3"/>
      <c r="CE412" s="3"/>
      <c r="CF412" s="3"/>
      <c r="CG412" s="3"/>
      <c r="CH412" s="3"/>
      <c r="CI412" s="3"/>
      <c r="CJ412" s="3"/>
      <c r="CK412" s="48"/>
      <c r="CL412" s="48"/>
      <c r="CM412" s="48"/>
      <c r="CN412" s="48"/>
      <c r="CO412" s="3"/>
      <c r="CP412" s="3"/>
      <c r="CQ412" s="3"/>
      <c r="CR412" s="3"/>
      <c r="CS412" s="3"/>
      <c r="CT412" s="3"/>
      <c r="CU412" s="3"/>
      <c r="CV412" s="3"/>
      <c r="CW412" s="3"/>
      <c r="CX412" s="4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</row>
    <row r="413" spans="13:115" ht="12.75"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48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4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48"/>
      <c r="CB413" s="48"/>
      <c r="CC413" s="48"/>
      <c r="CD413" s="3"/>
      <c r="CE413" s="3"/>
      <c r="CF413" s="3"/>
      <c r="CG413" s="3"/>
      <c r="CH413" s="3"/>
      <c r="CI413" s="3"/>
      <c r="CJ413" s="3"/>
      <c r="CK413" s="48"/>
      <c r="CL413" s="48"/>
      <c r="CM413" s="48"/>
      <c r="CN413" s="48"/>
      <c r="CO413" s="3"/>
      <c r="CP413" s="3"/>
      <c r="CQ413" s="3"/>
      <c r="CR413" s="3"/>
      <c r="CS413" s="3"/>
      <c r="CT413" s="3"/>
      <c r="CU413" s="3"/>
      <c r="CV413" s="3"/>
      <c r="CW413" s="3"/>
      <c r="CX413" s="4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</row>
    <row r="414" spans="13:115" ht="12.75"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48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4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48"/>
      <c r="CB414" s="48"/>
      <c r="CC414" s="48"/>
      <c r="CD414" s="3"/>
      <c r="CE414" s="3"/>
      <c r="CF414" s="3"/>
      <c r="CG414" s="3"/>
      <c r="CH414" s="3"/>
      <c r="CI414" s="3"/>
      <c r="CJ414" s="3"/>
      <c r="CK414" s="48"/>
      <c r="CL414" s="48"/>
      <c r="CM414" s="48"/>
      <c r="CN414" s="48"/>
      <c r="CO414" s="3"/>
      <c r="CP414" s="3"/>
      <c r="CQ414" s="3"/>
      <c r="CR414" s="3"/>
      <c r="CS414" s="3"/>
      <c r="CT414" s="3"/>
      <c r="CU414" s="3"/>
      <c r="CV414" s="3"/>
      <c r="CW414" s="3"/>
      <c r="CX414" s="4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</row>
    <row r="415" spans="13:115" ht="12.75"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48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4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48"/>
      <c r="CB415" s="48"/>
      <c r="CC415" s="48"/>
      <c r="CD415" s="3"/>
      <c r="CE415" s="3"/>
      <c r="CF415" s="3"/>
      <c r="CG415" s="3"/>
      <c r="CH415" s="3"/>
      <c r="CI415" s="3"/>
      <c r="CJ415" s="3"/>
      <c r="CK415" s="48"/>
      <c r="CL415" s="48"/>
      <c r="CM415" s="48"/>
      <c r="CN415" s="48"/>
      <c r="CO415" s="3"/>
      <c r="CP415" s="3"/>
      <c r="CQ415" s="3"/>
      <c r="CR415" s="3"/>
      <c r="CS415" s="3"/>
      <c r="CT415" s="3"/>
      <c r="CU415" s="3"/>
      <c r="CV415" s="3"/>
      <c r="CW415" s="3"/>
      <c r="CX415" s="4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</row>
    <row r="416" spans="13:115" ht="12.75"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48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4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48"/>
      <c r="CB416" s="48"/>
      <c r="CC416" s="48"/>
      <c r="CD416" s="3"/>
      <c r="CE416" s="3"/>
      <c r="CF416" s="3"/>
      <c r="CG416" s="3"/>
      <c r="CH416" s="3"/>
      <c r="CI416" s="3"/>
      <c r="CJ416" s="3"/>
      <c r="CK416" s="48"/>
      <c r="CL416" s="48"/>
      <c r="CM416" s="48"/>
      <c r="CN416" s="48"/>
      <c r="CO416" s="3"/>
      <c r="CP416" s="3"/>
      <c r="CQ416" s="3"/>
      <c r="CR416" s="3"/>
      <c r="CS416" s="3"/>
      <c r="CT416" s="3"/>
      <c r="CU416" s="3"/>
      <c r="CV416" s="3"/>
      <c r="CW416" s="3"/>
      <c r="CX416" s="4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</row>
    <row r="417" spans="13:115" ht="12.75"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48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4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48"/>
      <c r="CB417" s="48"/>
      <c r="CC417" s="48"/>
      <c r="CD417" s="3"/>
      <c r="CE417" s="3"/>
      <c r="CF417" s="3"/>
      <c r="CG417" s="3"/>
      <c r="CH417" s="3"/>
      <c r="CI417" s="3"/>
      <c r="CJ417" s="3"/>
      <c r="CK417" s="48"/>
      <c r="CL417" s="48"/>
      <c r="CM417" s="48"/>
      <c r="CN417" s="48"/>
      <c r="CO417" s="3"/>
      <c r="CP417" s="3"/>
      <c r="CQ417" s="3"/>
      <c r="CR417" s="3"/>
      <c r="CS417" s="3"/>
      <c r="CT417" s="3"/>
      <c r="CU417" s="3"/>
      <c r="CV417" s="3"/>
      <c r="CW417" s="3"/>
      <c r="CX417" s="4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</row>
    <row r="418" spans="13:115" ht="12.75"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48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4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48"/>
      <c r="CB418" s="48"/>
      <c r="CC418" s="48"/>
      <c r="CD418" s="3"/>
      <c r="CE418" s="3"/>
      <c r="CF418" s="3"/>
      <c r="CG418" s="3"/>
      <c r="CH418" s="3"/>
      <c r="CI418" s="3"/>
      <c r="CJ418" s="3"/>
      <c r="CK418" s="48"/>
      <c r="CL418" s="48"/>
      <c r="CM418" s="48"/>
      <c r="CN418" s="48"/>
      <c r="CO418" s="3"/>
      <c r="CP418" s="3"/>
      <c r="CQ418" s="3"/>
      <c r="CR418" s="3"/>
      <c r="CS418" s="3"/>
      <c r="CT418" s="3"/>
      <c r="CU418" s="3"/>
      <c r="CV418" s="3"/>
      <c r="CW418" s="3"/>
      <c r="CX418" s="4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</row>
    <row r="419" spans="13:115" ht="12.75"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48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4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48"/>
      <c r="CB419" s="48"/>
      <c r="CC419" s="48"/>
      <c r="CD419" s="3"/>
      <c r="CE419" s="3"/>
      <c r="CF419" s="3"/>
      <c r="CG419" s="3"/>
      <c r="CH419" s="3"/>
      <c r="CI419" s="3"/>
      <c r="CJ419" s="3"/>
      <c r="CK419" s="48"/>
      <c r="CL419" s="48"/>
      <c r="CM419" s="48"/>
      <c r="CN419" s="48"/>
      <c r="CO419" s="3"/>
      <c r="CP419" s="3"/>
      <c r="CQ419" s="3"/>
      <c r="CR419" s="3"/>
      <c r="CS419" s="3"/>
      <c r="CT419" s="3"/>
      <c r="CU419" s="3"/>
      <c r="CV419" s="3"/>
      <c r="CW419" s="3"/>
      <c r="CX419" s="4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</row>
    <row r="420" spans="13:115" ht="12.75"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48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4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48"/>
      <c r="CB420" s="48"/>
      <c r="CC420" s="48"/>
      <c r="CD420" s="3"/>
      <c r="CE420" s="3"/>
      <c r="CF420" s="3"/>
      <c r="CG420" s="3"/>
      <c r="CH420" s="3"/>
      <c r="CI420" s="3"/>
      <c r="CJ420" s="3"/>
      <c r="CK420" s="48"/>
      <c r="CL420" s="48"/>
      <c r="CM420" s="48"/>
      <c r="CN420" s="48"/>
      <c r="CO420" s="3"/>
      <c r="CP420" s="3"/>
      <c r="CQ420" s="3"/>
      <c r="CR420" s="3"/>
      <c r="CS420" s="3"/>
      <c r="CT420" s="3"/>
      <c r="CU420" s="3"/>
      <c r="CV420" s="3"/>
      <c r="CW420" s="3"/>
      <c r="CX420" s="4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</row>
    <row r="421" spans="13:115" ht="12.75"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48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4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48"/>
      <c r="CB421" s="48"/>
      <c r="CC421" s="48"/>
      <c r="CD421" s="3"/>
      <c r="CE421" s="3"/>
      <c r="CF421" s="3"/>
      <c r="CG421" s="3"/>
      <c r="CH421" s="3"/>
      <c r="CI421" s="3"/>
      <c r="CJ421" s="3"/>
      <c r="CK421" s="48"/>
      <c r="CL421" s="48"/>
      <c r="CM421" s="48"/>
      <c r="CN421" s="48"/>
      <c r="CO421" s="3"/>
      <c r="CP421" s="3"/>
      <c r="CQ421" s="3"/>
      <c r="CR421" s="3"/>
      <c r="CS421" s="3"/>
      <c r="CT421" s="3"/>
      <c r="CU421" s="3"/>
      <c r="CV421" s="3"/>
      <c r="CW421" s="3"/>
      <c r="CX421" s="4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</row>
    <row r="422" spans="13:115" ht="12.75"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48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4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48"/>
      <c r="CB422" s="48"/>
      <c r="CC422" s="48"/>
      <c r="CD422" s="3"/>
      <c r="CE422" s="3"/>
      <c r="CF422" s="3"/>
      <c r="CG422" s="3"/>
      <c r="CH422" s="3"/>
      <c r="CI422" s="3"/>
      <c r="CJ422" s="3"/>
      <c r="CK422" s="48"/>
      <c r="CL422" s="48"/>
      <c r="CM422" s="48"/>
      <c r="CN422" s="48"/>
      <c r="CO422" s="3"/>
      <c r="CP422" s="3"/>
      <c r="CQ422" s="3"/>
      <c r="CR422" s="3"/>
      <c r="CS422" s="3"/>
      <c r="CT422" s="3"/>
      <c r="CU422" s="3"/>
      <c r="CV422" s="3"/>
      <c r="CW422" s="3"/>
      <c r="CX422" s="4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</row>
    <row r="423" spans="13:115" ht="12.75"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48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4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48"/>
      <c r="CB423" s="48"/>
      <c r="CC423" s="48"/>
      <c r="CD423" s="3"/>
      <c r="CE423" s="3"/>
      <c r="CF423" s="3"/>
      <c r="CG423" s="3"/>
      <c r="CH423" s="3"/>
      <c r="CI423" s="3"/>
      <c r="CJ423" s="3"/>
      <c r="CK423" s="48"/>
      <c r="CL423" s="48"/>
      <c r="CM423" s="48"/>
      <c r="CN423" s="48"/>
      <c r="CO423" s="3"/>
      <c r="CP423" s="3"/>
      <c r="CQ423" s="3"/>
      <c r="CR423" s="3"/>
      <c r="CS423" s="3"/>
      <c r="CT423" s="3"/>
      <c r="CU423" s="3"/>
      <c r="CV423" s="3"/>
      <c r="CW423" s="3"/>
      <c r="CX423" s="4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</row>
    <row r="424" spans="13:115" ht="12.75"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48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4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48"/>
      <c r="CB424" s="48"/>
      <c r="CC424" s="48"/>
      <c r="CD424" s="3"/>
      <c r="CE424" s="3"/>
      <c r="CF424" s="3"/>
      <c r="CG424" s="3"/>
      <c r="CH424" s="3"/>
      <c r="CI424" s="3"/>
      <c r="CJ424" s="3"/>
      <c r="CK424" s="48"/>
      <c r="CL424" s="48"/>
      <c r="CM424" s="48"/>
      <c r="CN424" s="48"/>
      <c r="CO424" s="3"/>
      <c r="CP424" s="3"/>
      <c r="CQ424" s="3"/>
      <c r="CR424" s="3"/>
      <c r="CS424" s="3"/>
      <c r="CT424" s="3"/>
      <c r="CU424" s="3"/>
      <c r="CV424" s="3"/>
      <c r="CW424" s="3"/>
      <c r="CX424" s="4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</row>
    <row r="425" spans="13:115" ht="12.75"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48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4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48"/>
      <c r="CB425" s="48"/>
      <c r="CC425" s="48"/>
      <c r="CD425" s="3"/>
      <c r="CE425" s="3"/>
      <c r="CF425" s="3"/>
      <c r="CG425" s="3"/>
      <c r="CH425" s="3"/>
      <c r="CI425" s="3"/>
      <c r="CJ425" s="3"/>
      <c r="CK425" s="48"/>
      <c r="CL425" s="48"/>
      <c r="CM425" s="48"/>
      <c r="CN425" s="48"/>
      <c r="CO425" s="3"/>
      <c r="CP425" s="3"/>
      <c r="CQ425" s="3"/>
      <c r="CR425" s="3"/>
      <c r="CS425" s="3"/>
      <c r="CT425" s="3"/>
      <c r="CU425" s="3"/>
      <c r="CV425" s="3"/>
      <c r="CW425" s="3"/>
      <c r="CX425" s="4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</row>
    <row r="426" spans="13:115" ht="12.75"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48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4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48"/>
      <c r="CB426" s="48"/>
      <c r="CC426" s="48"/>
      <c r="CD426" s="3"/>
      <c r="CE426" s="3"/>
      <c r="CF426" s="3"/>
      <c r="CG426" s="3"/>
      <c r="CH426" s="3"/>
      <c r="CI426" s="3"/>
      <c r="CJ426" s="3"/>
      <c r="CK426" s="48"/>
      <c r="CL426" s="48"/>
      <c r="CM426" s="48"/>
      <c r="CN426" s="48"/>
      <c r="CO426" s="3"/>
      <c r="CP426" s="3"/>
      <c r="CQ426" s="3"/>
      <c r="CR426" s="3"/>
      <c r="CS426" s="3"/>
      <c r="CT426" s="3"/>
      <c r="CU426" s="3"/>
      <c r="CV426" s="3"/>
      <c r="CW426" s="3"/>
      <c r="CX426" s="4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</row>
    <row r="427" spans="13:115" ht="12.75"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48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4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48"/>
      <c r="CB427" s="48"/>
      <c r="CC427" s="48"/>
      <c r="CD427" s="3"/>
      <c r="CE427" s="3"/>
      <c r="CF427" s="3"/>
      <c r="CG427" s="3"/>
      <c r="CH427" s="3"/>
      <c r="CI427" s="3"/>
      <c r="CJ427" s="3"/>
      <c r="CK427" s="48"/>
      <c r="CL427" s="48"/>
      <c r="CM427" s="48"/>
      <c r="CN427" s="48"/>
      <c r="CO427" s="3"/>
      <c r="CP427" s="3"/>
      <c r="CQ427" s="3"/>
      <c r="CR427" s="3"/>
      <c r="CS427" s="3"/>
      <c r="CT427" s="3"/>
      <c r="CU427" s="3"/>
      <c r="CV427" s="3"/>
      <c r="CW427" s="3"/>
      <c r="CX427" s="4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</row>
    <row r="428" spans="13:115" ht="12.75"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48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4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48"/>
      <c r="CB428" s="48"/>
      <c r="CC428" s="48"/>
      <c r="CD428" s="3"/>
      <c r="CE428" s="3"/>
      <c r="CF428" s="3"/>
      <c r="CG428" s="3"/>
      <c r="CH428" s="3"/>
      <c r="CI428" s="3"/>
      <c r="CJ428" s="3"/>
      <c r="CK428" s="48"/>
      <c r="CL428" s="48"/>
      <c r="CM428" s="48"/>
      <c r="CN428" s="48"/>
      <c r="CO428" s="3"/>
      <c r="CP428" s="3"/>
      <c r="CQ428" s="3"/>
      <c r="CR428" s="3"/>
      <c r="CS428" s="3"/>
      <c r="CT428" s="3"/>
      <c r="CU428" s="3"/>
      <c r="CV428" s="3"/>
      <c r="CW428" s="3"/>
      <c r="CX428" s="4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</row>
    <row r="429" spans="13:115" ht="12.75"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48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4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48"/>
      <c r="CB429" s="48"/>
      <c r="CC429" s="48"/>
      <c r="CD429" s="3"/>
      <c r="CE429" s="3"/>
      <c r="CF429" s="3"/>
      <c r="CG429" s="3"/>
      <c r="CH429" s="3"/>
      <c r="CI429" s="3"/>
      <c r="CJ429" s="3"/>
      <c r="CK429" s="48"/>
      <c r="CL429" s="48"/>
      <c r="CM429" s="48"/>
      <c r="CN429" s="48"/>
      <c r="CO429" s="3"/>
      <c r="CP429" s="3"/>
      <c r="CQ429" s="3"/>
      <c r="CR429" s="3"/>
      <c r="CS429" s="3"/>
      <c r="CT429" s="3"/>
      <c r="CU429" s="3"/>
      <c r="CV429" s="3"/>
      <c r="CW429" s="3"/>
      <c r="CX429" s="4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</row>
    <row r="430" spans="13:115" ht="12.75"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48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4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48"/>
      <c r="CB430" s="48"/>
      <c r="CC430" s="48"/>
      <c r="CD430" s="3"/>
      <c r="CE430" s="3"/>
      <c r="CF430" s="3"/>
      <c r="CG430" s="3"/>
      <c r="CH430" s="3"/>
      <c r="CI430" s="3"/>
      <c r="CJ430" s="3"/>
      <c r="CK430" s="48"/>
      <c r="CL430" s="48"/>
      <c r="CM430" s="48"/>
      <c r="CN430" s="48"/>
      <c r="CO430" s="3"/>
      <c r="CP430" s="3"/>
      <c r="CQ430" s="3"/>
      <c r="CR430" s="3"/>
      <c r="CS430" s="3"/>
      <c r="CT430" s="3"/>
      <c r="CU430" s="3"/>
      <c r="CV430" s="3"/>
      <c r="CW430" s="3"/>
      <c r="CX430" s="4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</row>
    <row r="431" spans="13:115" ht="12.75"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48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4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48"/>
      <c r="CB431" s="48"/>
      <c r="CC431" s="48"/>
      <c r="CD431" s="3"/>
      <c r="CE431" s="3"/>
      <c r="CF431" s="3"/>
      <c r="CG431" s="3"/>
      <c r="CH431" s="3"/>
      <c r="CI431" s="3"/>
      <c r="CJ431" s="3"/>
      <c r="CK431" s="48"/>
      <c r="CL431" s="48"/>
      <c r="CM431" s="48"/>
      <c r="CN431" s="48"/>
      <c r="CO431" s="3"/>
      <c r="CP431" s="3"/>
      <c r="CQ431" s="3"/>
      <c r="CR431" s="3"/>
      <c r="CS431" s="3"/>
      <c r="CT431" s="3"/>
      <c r="CU431" s="3"/>
      <c r="CV431" s="3"/>
      <c r="CW431" s="3"/>
      <c r="CX431" s="4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</row>
    <row r="432" spans="13:115" ht="12.75"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48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4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48"/>
      <c r="CB432" s="48"/>
      <c r="CC432" s="48"/>
      <c r="CD432" s="3"/>
      <c r="CE432" s="3"/>
      <c r="CF432" s="3"/>
      <c r="CG432" s="3"/>
      <c r="CH432" s="3"/>
      <c r="CI432" s="3"/>
      <c r="CJ432" s="3"/>
      <c r="CK432" s="48"/>
      <c r="CL432" s="48"/>
      <c r="CM432" s="48"/>
      <c r="CN432" s="48"/>
      <c r="CO432" s="3"/>
      <c r="CP432" s="3"/>
      <c r="CQ432" s="3"/>
      <c r="CR432" s="3"/>
      <c r="CS432" s="3"/>
      <c r="CT432" s="3"/>
      <c r="CU432" s="3"/>
      <c r="CV432" s="3"/>
      <c r="CW432" s="3"/>
      <c r="CX432" s="4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</row>
    <row r="433" spans="13:115" ht="12.75"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48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4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48"/>
      <c r="CB433" s="48"/>
      <c r="CC433" s="48"/>
      <c r="CD433" s="3"/>
      <c r="CE433" s="3"/>
      <c r="CF433" s="3"/>
      <c r="CG433" s="3"/>
      <c r="CH433" s="3"/>
      <c r="CI433" s="3"/>
      <c r="CJ433" s="3"/>
      <c r="CK433" s="48"/>
      <c r="CL433" s="48"/>
      <c r="CM433" s="48"/>
      <c r="CN433" s="48"/>
      <c r="CO433" s="3"/>
      <c r="CP433" s="3"/>
      <c r="CQ433" s="3"/>
      <c r="CR433" s="3"/>
      <c r="CS433" s="3"/>
      <c r="CT433" s="3"/>
      <c r="CU433" s="3"/>
      <c r="CV433" s="3"/>
      <c r="CW433" s="3"/>
      <c r="CX433" s="4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</row>
    <row r="434" spans="13:115" ht="12.75"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48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4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48"/>
      <c r="CB434" s="48"/>
      <c r="CC434" s="48"/>
      <c r="CD434" s="3"/>
      <c r="CE434" s="3"/>
      <c r="CF434" s="3"/>
      <c r="CG434" s="3"/>
      <c r="CH434" s="3"/>
      <c r="CI434" s="3"/>
      <c r="CJ434" s="3"/>
      <c r="CK434" s="48"/>
      <c r="CL434" s="48"/>
      <c r="CM434" s="48"/>
      <c r="CN434" s="48"/>
      <c r="CO434" s="3"/>
      <c r="CP434" s="3"/>
      <c r="CQ434" s="3"/>
      <c r="CR434" s="3"/>
      <c r="CS434" s="3"/>
      <c r="CT434" s="3"/>
      <c r="CU434" s="3"/>
      <c r="CV434" s="3"/>
      <c r="CW434" s="3"/>
      <c r="CX434" s="4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</row>
    <row r="435" spans="13:115" ht="12.75"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48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4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48"/>
      <c r="CB435" s="48"/>
      <c r="CC435" s="48"/>
      <c r="CD435" s="3"/>
      <c r="CE435" s="3"/>
      <c r="CF435" s="3"/>
      <c r="CG435" s="3"/>
      <c r="CH435" s="3"/>
      <c r="CI435" s="3"/>
      <c r="CJ435" s="3"/>
      <c r="CK435" s="48"/>
      <c r="CL435" s="48"/>
      <c r="CM435" s="48"/>
      <c r="CN435" s="48"/>
      <c r="CO435" s="3"/>
      <c r="CP435" s="3"/>
      <c r="CQ435" s="3"/>
      <c r="CR435" s="3"/>
      <c r="CS435" s="3"/>
      <c r="CT435" s="3"/>
      <c r="CU435" s="3"/>
      <c r="CV435" s="3"/>
      <c r="CW435" s="3"/>
      <c r="CX435" s="4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</row>
    <row r="436" spans="13:115" ht="12.75"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48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4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48"/>
      <c r="CB436" s="48"/>
      <c r="CC436" s="48"/>
      <c r="CD436" s="3"/>
      <c r="CE436" s="3"/>
      <c r="CF436" s="3"/>
      <c r="CG436" s="3"/>
      <c r="CH436" s="3"/>
      <c r="CI436" s="3"/>
      <c r="CJ436" s="3"/>
      <c r="CK436" s="48"/>
      <c r="CL436" s="48"/>
      <c r="CM436" s="48"/>
      <c r="CN436" s="48"/>
      <c r="CO436" s="3"/>
      <c r="CP436" s="3"/>
      <c r="CQ436" s="3"/>
      <c r="CR436" s="3"/>
      <c r="CS436" s="3"/>
      <c r="CT436" s="3"/>
      <c r="CU436" s="3"/>
      <c r="CV436" s="3"/>
      <c r="CW436" s="3"/>
      <c r="CX436" s="4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</row>
    <row r="437" spans="13:115" ht="12.75"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48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4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48"/>
      <c r="CB437" s="48"/>
      <c r="CC437" s="48"/>
      <c r="CD437" s="3"/>
      <c r="CE437" s="3"/>
      <c r="CF437" s="3"/>
      <c r="CG437" s="3"/>
      <c r="CH437" s="3"/>
      <c r="CI437" s="3"/>
      <c r="CJ437" s="3"/>
      <c r="CK437" s="48"/>
      <c r="CL437" s="48"/>
      <c r="CM437" s="48"/>
      <c r="CN437" s="48"/>
      <c r="CO437" s="3"/>
      <c r="CP437" s="3"/>
      <c r="CQ437" s="3"/>
      <c r="CR437" s="3"/>
      <c r="CS437" s="3"/>
      <c r="CT437" s="3"/>
      <c r="CU437" s="3"/>
      <c r="CV437" s="3"/>
      <c r="CW437" s="3"/>
      <c r="CX437" s="4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</row>
    <row r="438" spans="13:115" ht="12.75"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48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4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48"/>
      <c r="CB438" s="48"/>
      <c r="CC438" s="48"/>
      <c r="CD438" s="3"/>
      <c r="CE438" s="3"/>
      <c r="CF438" s="3"/>
      <c r="CG438" s="3"/>
      <c r="CH438" s="3"/>
      <c r="CI438" s="3"/>
      <c r="CJ438" s="3"/>
      <c r="CK438" s="48"/>
      <c r="CL438" s="48"/>
      <c r="CM438" s="48"/>
      <c r="CN438" s="48"/>
      <c r="CO438" s="3"/>
      <c r="CP438" s="3"/>
      <c r="CQ438" s="3"/>
      <c r="CR438" s="3"/>
      <c r="CS438" s="3"/>
      <c r="CT438" s="3"/>
      <c r="CU438" s="3"/>
      <c r="CV438" s="3"/>
      <c r="CW438" s="3"/>
      <c r="CX438" s="4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</row>
    <row r="439" spans="13:115" ht="12.75"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48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4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48"/>
      <c r="CB439" s="48"/>
      <c r="CC439" s="48"/>
      <c r="CD439" s="3"/>
      <c r="CE439" s="3"/>
      <c r="CF439" s="3"/>
      <c r="CG439" s="3"/>
      <c r="CH439" s="3"/>
      <c r="CI439" s="3"/>
      <c r="CJ439" s="3"/>
      <c r="CK439" s="48"/>
      <c r="CL439" s="48"/>
      <c r="CM439" s="48"/>
      <c r="CN439" s="48"/>
      <c r="CO439" s="3"/>
      <c r="CP439" s="3"/>
      <c r="CQ439" s="3"/>
      <c r="CR439" s="3"/>
      <c r="CS439" s="3"/>
      <c r="CT439" s="3"/>
      <c r="CU439" s="3"/>
      <c r="CV439" s="3"/>
      <c r="CW439" s="3"/>
      <c r="CX439" s="4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</row>
    <row r="440" spans="13:115" ht="12.75"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48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4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48"/>
      <c r="CB440" s="48"/>
      <c r="CC440" s="48"/>
      <c r="CD440" s="3"/>
      <c r="CE440" s="3"/>
      <c r="CF440" s="3"/>
      <c r="CG440" s="3"/>
      <c r="CH440" s="3"/>
      <c r="CI440" s="3"/>
      <c r="CJ440" s="3"/>
      <c r="CK440" s="48"/>
      <c r="CL440" s="48"/>
      <c r="CM440" s="48"/>
      <c r="CN440" s="48"/>
      <c r="CO440" s="3"/>
      <c r="CP440" s="3"/>
      <c r="CQ440" s="3"/>
      <c r="CR440" s="3"/>
      <c r="CS440" s="3"/>
      <c r="CT440" s="3"/>
      <c r="CU440" s="3"/>
      <c r="CV440" s="3"/>
      <c r="CW440" s="3"/>
      <c r="CX440" s="4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</row>
    <row r="441" spans="13:115" ht="12.75"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48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4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48"/>
      <c r="CB441" s="48"/>
      <c r="CC441" s="48"/>
      <c r="CD441" s="3"/>
      <c r="CE441" s="3"/>
      <c r="CF441" s="3"/>
      <c r="CG441" s="3"/>
      <c r="CH441" s="3"/>
      <c r="CI441" s="3"/>
      <c r="CJ441" s="3"/>
      <c r="CK441" s="48"/>
      <c r="CL441" s="48"/>
      <c r="CM441" s="48"/>
      <c r="CN441" s="48"/>
      <c r="CO441" s="3"/>
      <c r="CP441" s="3"/>
      <c r="CQ441" s="3"/>
      <c r="CR441" s="3"/>
      <c r="CS441" s="3"/>
      <c r="CT441" s="3"/>
      <c r="CU441" s="3"/>
      <c r="CV441" s="3"/>
      <c r="CW441" s="3"/>
      <c r="CX441" s="4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</row>
    <row r="442" spans="13:115" ht="12.75"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48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4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48"/>
      <c r="CB442" s="48"/>
      <c r="CC442" s="48"/>
      <c r="CD442" s="3"/>
      <c r="CE442" s="3"/>
      <c r="CF442" s="3"/>
      <c r="CG442" s="3"/>
      <c r="CH442" s="3"/>
      <c r="CI442" s="3"/>
      <c r="CJ442" s="3"/>
      <c r="CK442" s="48"/>
      <c r="CL442" s="48"/>
      <c r="CM442" s="48"/>
      <c r="CN442" s="48"/>
      <c r="CO442" s="3"/>
      <c r="CP442" s="3"/>
      <c r="CQ442" s="3"/>
      <c r="CR442" s="3"/>
      <c r="CS442" s="3"/>
      <c r="CT442" s="3"/>
      <c r="CU442" s="3"/>
      <c r="CV442" s="3"/>
      <c r="CW442" s="3"/>
      <c r="CX442" s="4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</row>
    <row r="443" spans="13:115" ht="12.75"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48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4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48"/>
      <c r="CB443" s="48"/>
      <c r="CC443" s="48"/>
      <c r="CD443" s="3"/>
      <c r="CE443" s="3"/>
      <c r="CF443" s="3"/>
      <c r="CG443" s="3"/>
      <c r="CH443" s="3"/>
      <c r="CI443" s="3"/>
      <c r="CJ443" s="3"/>
      <c r="CK443" s="48"/>
      <c r="CL443" s="48"/>
      <c r="CM443" s="48"/>
      <c r="CN443" s="48"/>
      <c r="CO443" s="3"/>
      <c r="CP443" s="3"/>
      <c r="CQ443" s="3"/>
      <c r="CR443" s="3"/>
      <c r="CS443" s="3"/>
      <c r="CT443" s="3"/>
      <c r="CU443" s="3"/>
      <c r="CV443" s="3"/>
      <c r="CW443" s="3"/>
      <c r="CX443" s="4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</row>
    <row r="444" spans="13:115" ht="12.75"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48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4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48"/>
      <c r="CB444" s="48"/>
      <c r="CC444" s="48"/>
      <c r="CD444" s="3"/>
      <c r="CE444" s="3"/>
      <c r="CF444" s="3"/>
      <c r="CG444" s="3"/>
      <c r="CH444" s="3"/>
      <c r="CI444" s="3"/>
      <c r="CJ444" s="3"/>
      <c r="CK444" s="48"/>
      <c r="CL444" s="48"/>
      <c r="CM444" s="48"/>
      <c r="CN444" s="48"/>
      <c r="CO444" s="3"/>
      <c r="CP444" s="3"/>
      <c r="CQ444" s="3"/>
      <c r="CR444" s="3"/>
      <c r="CS444" s="3"/>
      <c r="CT444" s="3"/>
      <c r="CU444" s="3"/>
      <c r="CV444" s="3"/>
      <c r="CW444" s="3"/>
      <c r="CX444" s="4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</row>
    <row r="445" spans="13:115" ht="12.75"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48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4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48"/>
      <c r="CB445" s="48"/>
      <c r="CC445" s="48"/>
      <c r="CD445" s="3"/>
      <c r="CE445" s="3"/>
      <c r="CF445" s="3"/>
      <c r="CG445" s="3"/>
      <c r="CH445" s="3"/>
      <c r="CI445" s="3"/>
      <c r="CJ445" s="3"/>
      <c r="CK445" s="48"/>
      <c r="CL445" s="48"/>
      <c r="CM445" s="48"/>
      <c r="CN445" s="48"/>
      <c r="CO445" s="3"/>
      <c r="CP445" s="3"/>
      <c r="CQ445" s="3"/>
      <c r="CR445" s="3"/>
      <c r="CS445" s="3"/>
      <c r="CT445" s="3"/>
      <c r="CU445" s="3"/>
      <c r="CV445" s="3"/>
      <c r="CW445" s="3"/>
      <c r="CX445" s="4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</row>
    <row r="446" spans="13:115" ht="12.75"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48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4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48"/>
      <c r="CB446" s="48"/>
      <c r="CC446" s="48"/>
      <c r="CD446" s="3"/>
      <c r="CE446" s="3"/>
      <c r="CF446" s="3"/>
      <c r="CG446" s="3"/>
      <c r="CH446" s="3"/>
      <c r="CI446" s="3"/>
      <c r="CJ446" s="3"/>
      <c r="CK446" s="48"/>
      <c r="CL446" s="48"/>
      <c r="CM446" s="48"/>
      <c r="CN446" s="48"/>
      <c r="CO446" s="3"/>
      <c r="CP446" s="3"/>
      <c r="CQ446" s="3"/>
      <c r="CR446" s="3"/>
      <c r="CS446" s="3"/>
      <c r="CT446" s="3"/>
      <c r="CU446" s="3"/>
      <c r="CV446" s="3"/>
      <c r="CW446" s="3"/>
      <c r="CX446" s="4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</row>
    <row r="447" spans="13:115" ht="12.75"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48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4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48"/>
      <c r="CB447" s="48"/>
      <c r="CC447" s="48"/>
      <c r="CD447" s="3"/>
      <c r="CE447" s="3"/>
      <c r="CF447" s="3"/>
      <c r="CG447" s="3"/>
      <c r="CH447" s="3"/>
      <c r="CI447" s="3"/>
      <c r="CJ447" s="3"/>
      <c r="CK447" s="48"/>
      <c r="CL447" s="48"/>
      <c r="CM447" s="48"/>
      <c r="CN447" s="48"/>
      <c r="CO447" s="3"/>
      <c r="CP447" s="3"/>
      <c r="CQ447" s="3"/>
      <c r="CR447" s="3"/>
      <c r="CS447" s="3"/>
      <c r="CT447" s="3"/>
      <c r="CU447" s="3"/>
      <c r="CV447" s="3"/>
      <c r="CW447" s="3"/>
      <c r="CX447" s="4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</row>
    <row r="448" spans="13:115" ht="12.75"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48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4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48"/>
      <c r="CB448" s="48"/>
      <c r="CC448" s="48"/>
      <c r="CD448" s="3"/>
      <c r="CE448" s="3"/>
      <c r="CF448" s="3"/>
      <c r="CG448" s="3"/>
      <c r="CH448" s="3"/>
      <c r="CI448" s="3"/>
      <c r="CJ448" s="3"/>
      <c r="CK448" s="48"/>
      <c r="CL448" s="48"/>
      <c r="CM448" s="48"/>
      <c r="CN448" s="48"/>
      <c r="CO448" s="3"/>
      <c r="CP448" s="3"/>
      <c r="CQ448" s="3"/>
      <c r="CR448" s="3"/>
      <c r="CS448" s="3"/>
      <c r="CT448" s="3"/>
      <c r="CU448" s="3"/>
      <c r="CV448" s="3"/>
      <c r="CW448" s="3"/>
      <c r="CX448" s="4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</row>
    <row r="449" spans="13:115" ht="12.75"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48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4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48"/>
      <c r="CB449" s="48"/>
      <c r="CC449" s="48"/>
      <c r="CD449" s="3"/>
      <c r="CE449" s="3"/>
      <c r="CF449" s="3"/>
      <c r="CG449" s="3"/>
      <c r="CH449" s="3"/>
      <c r="CI449" s="3"/>
      <c r="CJ449" s="3"/>
      <c r="CK449" s="48"/>
      <c r="CL449" s="48"/>
      <c r="CM449" s="48"/>
      <c r="CN449" s="48"/>
      <c r="CO449" s="3"/>
      <c r="CP449" s="3"/>
      <c r="CQ449" s="3"/>
      <c r="CR449" s="3"/>
      <c r="CS449" s="3"/>
      <c r="CT449" s="3"/>
      <c r="CU449" s="3"/>
      <c r="CV449" s="3"/>
      <c r="CW449" s="3"/>
      <c r="CX449" s="4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</row>
    <row r="450" spans="13:115" ht="12.75"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48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4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48"/>
      <c r="CB450" s="48"/>
      <c r="CC450" s="48"/>
      <c r="CD450" s="3"/>
      <c r="CE450" s="3"/>
      <c r="CF450" s="3"/>
      <c r="CG450" s="3"/>
      <c r="CH450" s="3"/>
      <c r="CI450" s="3"/>
      <c r="CJ450" s="3"/>
      <c r="CK450" s="48"/>
      <c r="CL450" s="48"/>
      <c r="CM450" s="48"/>
      <c r="CN450" s="48"/>
      <c r="CO450" s="3"/>
      <c r="CP450" s="3"/>
      <c r="CQ450" s="3"/>
      <c r="CR450" s="3"/>
      <c r="CS450" s="3"/>
      <c r="CT450" s="3"/>
      <c r="CU450" s="3"/>
      <c r="CV450" s="3"/>
      <c r="CW450" s="3"/>
      <c r="CX450" s="4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</row>
    <row r="451" spans="13:115" ht="12.75"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48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4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48"/>
      <c r="CB451" s="48"/>
      <c r="CC451" s="48"/>
      <c r="CD451" s="3"/>
      <c r="CE451" s="3"/>
      <c r="CF451" s="3"/>
      <c r="CG451" s="3"/>
      <c r="CH451" s="3"/>
      <c r="CI451" s="3"/>
      <c r="CJ451" s="3"/>
      <c r="CK451" s="48"/>
      <c r="CL451" s="48"/>
      <c r="CM451" s="48"/>
      <c r="CN451" s="48"/>
      <c r="CO451" s="3"/>
      <c r="CP451" s="3"/>
      <c r="CQ451" s="3"/>
      <c r="CR451" s="3"/>
      <c r="CS451" s="3"/>
      <c r="CT451" s="3"/>
      <c r="CU451" s="3"/>
      <c r="CV451" s="3"/>
      <c r="CW451" s="3"/>
      <c r="CX451" s="4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</row>
    <row r="452" spans="13:115" ht="12.75"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48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4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48"/>
      <c r="CB452" s="48"/>
      <c r="CC452" s="48"/>
      <c r="CD452" s="3"/>
      <c r="CE452" s="3"/>
      <c r="CF452" s="3"/>
      <c r="CG452" s="3"/>
      <c r="CH452" s="3"/>
      <c r="CI452" s="3"/>
      <c r="CJ452" s="3"/>
      <c r="CK452" s="48"/>
      <c r="CL452" s="48"/>
      <c r="CM452" s="48"/>
      <c r="CN452" s="48"/>
      <c r="CO452" s="3"/>
      <c r="CP452" s="3"/>
      <c r="CQ452" s="3"/>
      <c r="CR452" s="3"/>
      <c r="CS452" s="3"/>
      <c r="CT452" s="3"/>
      <c r="CU452" s="3"/>
      <c r="CV452" s="3"/>
      <c r="CW452" s="3"/>
      <c r="CX452" s="4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</row>
    <row r="453" spans="13:115" ht="12.75"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48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4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48"/>
      <c r="CB453" s="48"/>
      <c r="CC453" s="48"/>
      <c r="CD453" s="3"/>
      <c r="CE453" s="3"/>
      <c r="CF453" s="3"/>
      <c r="CG453" s="3"/>
      <c r="CH453" s="3"/>
      <c r="CI453" s="3"/>
      <c r="CJ453" s="3"/>
      <c r="CK453" s="48"/>
      <c r="CL453" s="48"/>
      <c r="CM453" s="48"/>
      <c r="CN453" s="48"/>
      <c r="CO453" s="3"/>
      <c r="CP453" s="3"/>
      <c r="CQ453" s="3"/>
      <c r="CR453" s="3"/>
      <c r="CS453" s="3"/>
      <c r="CT453" s="3"/>
      <c r="CU453" s="3"/>
      <c r="CV453" s="3"/>
      <c r="CW453" s="3"/>
      <c r="CX453" s="4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</row>
    <row r="454" spans="13:115" ht="12.75"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48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4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48"/>
      <c r="CB454" s="48"/>
      <c r="CC454" s="48"/>
      <c r="CD454" s="3"/>
      <c r="CE454" s="3"/>
      <c r="CF454" s="3"/>
      <c r="CG454" s="3"/>
      <c r="CH454" s="3"/>
      <c r="CI454" s="3"/>
      <c r="CJ454" s="3"/>
      <c r="CK454" s="48"/>
      <c r="CL454" s="48"/>
      <c r="CM454" s="48"/>
      <c r="CN454" s="48"/>
      <c r="CO454" s="3"/>
      <c r="CP454" s="3"/>
      <c r="CQ454" s="3"/>
      <c r="CR454" s="3"/>
      <c r="CS454" s="3"/>
      <c r="CT454" s="3"/>
      <c r="CU454" s="3"/>
      <c r="CV454" s="3"/>
      <c r="CW454" s="3"/>
      <c r="CX454" s="4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</row>
    <row r="455" spans="13:115" ht="12.75"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48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4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48"/>
      <c r="CB455" s="48"/>
      <c r="CC455" s="48"/>
      <c r="CD455" s="3"/>
      <c r="CE455" s="3"/>
      <c r="CF455" s="3"/>
      <c r="CG455" s="3"/>
      <c r="CH455" s="3"/>
      <c r="CI455" s="3"/>
      <c r="CJ455" s="3"/>
      <c r="CK455" s="48"/>
      <c r="CL455" s="48"/>
      <c r="CM455" s="48"/>
      <c r="CN455" s="48"/>
      <c r="CO455" s="3"/>
      <c r="CP455" s="3"/>
      <c r="CQ455" s="3"/>
      <c r="CR455" s="3"/>
      <c r="CS455" s="3"/>
      <c r="CT455" s="3"/>
      <c r="CU455" s="3"/>
      <c r="CV455" s="3"/>
      <c r="CW455" s="3"/>
      <c r="CX455" s="4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</row>
    <row r="456" spans="13:115" ht="12.75"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48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4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48"/>
      <c r="CB456" s="48"/>
      <c r="CC456" s="48"/>
      <c r="CD456" s="3"/>
      <c r="CE456" s="3"/>
      <c r="CF456" s="3"/>
      <c r="CG456" s="3"/>
      <c r="CH456" s="3"/>
      <c r="CI456" s="3"/>
      <c r="CJ456" s="3"/>
      <c r="CK456" s="48"/>
      <c r="CL456" s="48"/>
      <c r="CM456" s="48"/>
      <c r="CN456" s="48"/>
      <c r="CO456" s="3"/>
      <c r="CP456" s="3"/>
      <c r="CQ456" s="3"/>
      <c r="CR456" s="3"/>
      <c r="CS456" s="3"/>
      <c r="CT456" s="3"/>
      <c r="CU456" s="3"/>
      <c r="CV456" s="3"/>
      <c r="CW456" s="3"/>
      <c r="CX456" s="4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</row>
    <row r="457" spans="13:115" ht="12.75"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48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4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48"/>
      <c r="CB457" s="48"/>
      <c r="CC457" s="48"/>
      <c r="CD457" s="3"/>
      <c r="CE457" s="3"/>
      <c r="CF457" s="3"/>
      <c r="CG457" s="3"/>
      <c r="CH457" s="3"/>
      <c r="CI457" s="3"/>
      <c r="CJ457" s="3"/>
      <c r="CK457" s="48"/>
      <c r="CL457" s="48"/>
      <c r="CM457" s="48"/>
      <c r="CN457" s="48"/>
      <c r="CO457" s="3"/>
      <c r="CP457" s="3"/>
      <c r="CQ457" s="3"/>
      <c r="CR457" s="3"/>
      <c r="CS457" s="3"/>
      <c r="CT457" s="3"/>
      <c r="CU457" s="3"/>
      <c r="CV457" s="3"/>
      <c r="CW457" s="3"/>
      <c r="CX457" s="4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</row>
    <row r="458" spans="13:115" ht="12.75"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48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4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48"/>
      <c r="CB458" s="48"/>
      <c r="CC458" s="48"/>
      <c r="CD458" s="3"/>
      <c r="CE458" s="3"/>
      <c r="CF458" s="3"/>
      <c r="CG458" s="3"/>
      <c r="CH458" s="3"/>
      <c r="CI458" s="3"/>
      <c r="CJ458" s="3"/>
      <c r="CK458" s="48"/>
      <c r="CL458" s="48"/>
      <c r="CM458" s="48"/>
      <c r="CN458" s="48"/>
      <c r="CO458" s="3"/>
      <c r="CP458" s="3"/>
      <c r="CQ458" s="3"/>
      <c r="CR458" s="3"/>
      <c r="CS458" s="3"/>
      <c r="CT458" s="3"/>
      <c r="CU458" s="3"/>
      <c r="CV458" s="3"/>
      <c r="CW458" s="3"/>
      <c r="CX458" s="4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</row>
    <row r="459" spans="13:115" ht="12.75"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48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4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48"/>
      <c r="CB459" s="48"/>
      <c r="CC459" s="48"/>
      <c r="CD459" s="3"/>
      <c r="CE459" s="3"/>
      <c r="CF459" s="3"/>
      <c r="CG459" s="3"/>
      <c r="CH459" s="3"/>
      <c r="CI459" s="3"/>
      <c r="CJ459" s="3"/>
      <c r="CK459" s="48"/>
      <c r="CL459" s="48"/>
      <c r="CM459" s="48"/>
      <c r="CN459" s="48"/>
      <c r="CO459" s="3"/>
      <c r="CP459" s="3"/>
      <c r="CQ459" s="3"/>
      <c r="CR459" s="3"/>
      <c r="CS459" s="3"/>
      <c r="CT459" s="3"/>
      <c r="CU459" s="3"/>
      <c r="CV459" s="3"/>
      <c r="CW459" s="3"/>
      <c r="CX459" s="4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</row>
    <row r="460" spans="13:115" ht="12.75"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48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4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48"/>
      <c r="CB460" s="48"/>
      <c r="CC460" s="48"/>
      <c r="CD460" s="3"/>
      <c r="CE460" s="3"/>
      <c r="CF460" s="3"/>
      <c r="CG460" s="3"/>
      <c r="CH460" s="3"/>
      <c r="CI460" s="3"/>
      <c r="CJ460" s="3"/>
      <c r="CK460" s="48"/>
      <c r="CL460" s="48"/>
      <c r="CM460" s="48"/>
      <c r="CN460" s="48"/>
      <c r="CO460" s="3"/>
      <c r="CP460" s="3"/>
      <c r="CQ460" s="3"/>
      <c r="CR460" s="3"/>
      <c r="CS460" s="3"/>
      <c r="CT460" s="3"/>
      <c r="CU460" s="3"/>
      <c r="CV460" s="3"/>
      <c r="CW460" s="3"/>
      <c r="CX460" s="4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</row>
    <row r="461" spans="13:115" ht="12.75"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48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4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48"/>
      <c r="CB461" s="48"/>
      <c r="CC461" s="48"/>
      <c r="CD461" s="3"/>
      <c r="CE461" s="3"/>
      <c r="CF461" s="3"/>
      <c r="CG461" s="3"/>
      <c r="CH461" s="3"/>
      <c r="CI461" s="3"/>
      <c r="CJ461" s="3"/>
      <c r="CK461" s="48"/>
      <c r="CL461" s="48"/>
      <c r="CM461" s="48"/>
      <c r="CN461" s="48"/>
      <c r="CO461" s="3"/>
      <c r="CP461" s="3"/>
      <c r="CQ461" s="3"/>
      <c r="CR461" s="3"/>
      <c r="CS461" s="3"/>
      <c r="CT461" s="3"/>
      <c r="CU461" s="3"/>
      <c r="CV461" s="3"/>
      <c r="CW461" s="3"/>
      <c r="CX461" s="4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</row>
    <row r="462" spans="13:115" ht="12.75"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48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4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48"/>
      <c r="CB462" s="48"/>
      <c r="CC462" s="48"/>
      <c r="CD462" s="3"/>
      <c r="CE462" s="3"/>
      <c r="CF462" s="3"/>
      <c r="CG462" s="3"/>
      <c r="CH462" s="3"/>
      <c r="CI462" s="3"/>
      <c r="CJ462" s="3"/>
      <c r="CK462" s="48"/>
      <c r="CL462" s="48"/>
      <c r="CM462" s="48"/>
      <c r="CN462" s="48"/>
      <c r="CO462" s="3"/>
      <c r="CP462" s="3"/>
      <c r="CQ462" s="3"/>
      <c r="CR462" s="3"/>
      <c r="CS462" s="3"/>
      <c r="CT462" s="3"/>
      <c r="CU462" s="3"/>
      <c r="CV462" s="3"/>
      <c r="CW462" s="3"/>
      <c r="CX462" s="4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</row>
    <row r="463" spans="13:115" ht="12.75"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48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4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48"/>
      <c r="CB463" s="48"/>
      <c r="CC463" s="48"/>
      <c r="CD463" s="3"/>
      <c r="CE463" s="3"/>
      <c r="CF463" s="3"/>
      <c r="CG463" s="3"/>
      <c r="CH463" s="3"/>
      <c r="CI463" s="3"/>
      <c r="CJ463" s="3"/>
      <c r="CK463" s="48"/>
      <c r="CL463" s="48"/>
      <c r="CM463" s="48"/>
      <c r="CN463" s="48"/>
      <c r="CO463" s="3"/>
      <c r="CP463" s="3"/>
      <c r="CQ463" s="3"/>
      <c r="CR463" s="3"/>
      <c r="CS463" s="3"/>
      <c r="CT463" s="3"/>
      <c r="CU463" s="3"/>
      <c r="CV463" s="3"/>
      <c r="CW463" s="3"/>
      <c r="CX463" s="4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</row>
    <row r="464" spans="13:115" ht="12.75"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48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4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48"/>
      <c r="CB464" s="48"/>
      <c r="CC464" s="48"/>
      <c r="CD464" s="3"/>
      <c r="CE464" s="3"/>
      <c r="CF464" s="3"/>
      <c r="CG464" s="3"/>
      <c r="CH464" s="3"/>
      <c r="CI464" s="3"/>
      <c r="CJ464" s="3"/>
      <c r="CK464" s="48"/>
      <c r="CL464" s="48"/>
      <c r="CM464" s="48"/>
      <c r="CN464" s="48"/>
      <c r="CO464" s="3"/>
      <c r="CP464" s="3"/>
      <c r="CQ464" s="3"/>
      <c r="CR464" s="3"/>
      <c r="CS464" s="3"/>
      <c r="CT464" s="3"/>
      <c r="CU464" s="3"/>
      <c r="CV464" s="3"/>
      <c r="CW464" s="3"/>
      <c r="CX464" s="4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</row>
    <row r="465" spans="13:115" ht="12.75"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48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4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48"/>
      <c r="CB465" s="48"/>
      <c r="CC465" s="48"/>
      <c r="CD465" s="3"/>
      <c r="CE465" s="3"/>
      <c r="CF465" s="3"/>
      <c r="CG465" s="3"/>
      <c r="CH465" s="3"/>
      <c r="CI465" s="3"/>
      <c r="CJ465" s="3"/>
      <c r="CK465" s="48"/>
      <c r="CL465" s="48"/>
      <c r="CM465" s="48"/>
      <c r="CN465" s="48"/>
      <c r="CO465" s="3"/>
      <c r="CP465" s="3"/>
      <c r="CQ465" s="3"/>
      <c r="CR465" s="3"/>
      <c r="CS465" s="3"/>
      <c r="CT465" s="3"/>
      <c r="CU465" s="3"/>
      <c r="CV465" s="3"/>
      <c r="CW465" s="3"/>
      <c r="CX465" s="4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</row>
    <row r="466" spans="13:115" ht="12.75"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48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4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48"/>
      <c r="CB466" s="48"/>
      <c r="CC466" s="48"/>
      <c r="CD466" s="3"/>
      <c r="CE466" s="3"/>
      <c r="CF466" s="3"/>
      <c r="CG466" s="3"/>
      <c r="CH466" s="3"/>
      <c r="CI466" s="3"/>
      <c r="CJ466" s="3"/>
      <c r="CK466" s="48"/>
      <c r="CL466" s="48"/>
      <c r="CM466" s="48"/>
      <c r="CN466" s="48"/>
      <c r="CO466" s="3"/>
      <c r="CP466" s="3"/>
      <c r="CQ466" s="3"/>
      <c r="CR466" s="3"/>
      <c r="CS466" s="3"/>
      <c r="CT466" s="3"/>
      <c r="CU466" s="3"/>
      <c r="CV466" s="3"/>
      <c r="CW466" s="3"/>
      <c r="CX466" s="4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</row>
    <row r="467" spans="13:115" ht="12.75"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48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4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48"/>
      <c r="CB467" s="48"/>
      <c r="CC467" s="48"/>
      <c r="CD467" s="3"/>
      <c r="CE467" s="3"/>
      <c r="CF467" s="3"/>
      <c r="CG467" s="3"/>
      <c r="CH467" s="3"/>
      <c r="CI467" s="3"/>
      <c r="CJ467" s="3"/>
      <c r="CK467" s="48"/>
      <c r="CL467" s="48"/>
      <c r="CM467" s="48"/>
      <c r="CN467" s="48"/>
      <c r="CO467" s="3"/>
      <c r="CP467" s="3"/>
      <c r="CQ467" s="3"/>
      <c r="CR467" s="3"/>
      <c r="CS467" s="3"/>
      <c r="CT467" s="3"/>
      <c r="CU467" s="3"/>
      <c r="CV467" s="3"/>
      <c r="CW467" s="3"/>
      <c r="CX467" s="4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</row>
    <row r="468" spans="13:115" ht="12.75"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48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4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48"/>
      <c r="CB468" s="48"/>
      <c r="CC468" s="48"/>
      <c r="CD468" s="3"/>
      <c r="CE468" s="3"/>
      <c r="CF468" s="3"/>
      <c r="CG468" s="3"/>
      <c r="CH468" s="3"/>
      <c r="CI468" s="3"/>
      <c r="CJ468" s="3"/>
      <c r="CK468" s="48"/>
      <c r="CL468" s="48"/>
      <c r="CM468" s="48"/>
      <c r="CN468" s="48"/>
      <c r="CO468" s="3"/>
      <c r="CP468" s="3"/>
      <c r="CQ468" s="3"/>
      <c r="CR468" s="3"/>
      <c r="CS468" s="3"/>
      <c r="CT468" s="3"/>
      <c r="CU468" s="3"/>
      <c r="CV468" s="3"/>
      <c r="CW468" s="3"/>
      <c r="CX468" s="4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</row>
    <row r="469" spans="13:115" ht="12.75"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48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4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48"/>
      <c r="CB469" s="48"/>
      <c r="CC469" s="48"/>
      <c r="CD469" s="3"/>
      <c r="CE469" s="3"/>
      <c r="CF469" s="3"/>
      <c r="CG469" s="3"/>
      <c r="CH469" s="3"/>
      <c r="CI469" s="3"/>
      <c r="CJ469" s="3"/>
      <c r="CK469" s="48"/>
      <c r="CL469" s="48"/>
      <c r="CM469" s="48"/>
      <c r="CN469" s="48"/>
      <c r="CO469" s="3"/>
      <c r="CP469" s="3"/>
      <c r="CQ469" s="3"/>
      <c r="CR469" s="3"/>
      <c r="CS469" s="3"/>
      <c r="CT469" s="3"/>
      <c r="CU469" s="3"/>
      <c r="CV469" s="3"/>
      <c r="CW469" s="3"/>
      <c r="CX469" s="4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</row>
    <row r="470" spans="13:115" ht="12.75"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48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4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48"/>
      <c r="CB470" s="48"/>
      <c r="CC470" s="48"/>
      <c r="CD470" s="3"/>
      <c r="CE470" s="3"/>
      <c r="CF470" s="3"/>
      <c r="CG470" s="3"/>
      <c r="CH470" s="3"/>
      <c r="CI470" s="3"/>
      <c r="CJ470" s="3"/>
      <c r="CK470" s="48"/>
      <c r="CL470" s="48"/>
      <c r="CM470" s="48"/>
      <c r="CN470" s="48"/>
      <c r="CO470" s="3"/>
      <c r="CP470" s="3"/>
      <c r="CQ470" s="3"/>
      <c r="CR470" s="3"/>
      <c r="CS470" s="3"/>
      <c r="CT470" s="3"/>
      <c r="CU470" s="3"/>
      <c r="CV470" s="3"/>
      <c r="CW470" s="3"/>
      <c r="CX470" s="4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</row>
    <row r="471" spans="13:115" ht="12.75"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48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4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48"/>
      <c r="CB471" s="48"/>
      <c r="CC471" s="48"/>
      <c r="CD471" s="3"/>
      <c r="CE471" s="3"/>
      <c r="CF471" s="3"/>
      <c r="CG471" s="3"/>
      <c r="CH471" s="3"/>
      <c r="CI471" s="3"/>
      <c r="CJ471" s="3"/>
      <c r="CK471" s="48"/>
      <c r="CL471" s="48"/>
      <c r="CM471" s="48"/>
      <c r="CN471" s="48"/>
      <c r="CO471" s="3"/>
      <c r="CP471" s="3"/>
      <c r="CQ471" s="3"/>
      <c r="CR471" s="3"/>
      <c r="CS471" s="3"/>
      <c r="CT471" s="3"/>
      <c r="CU471" s="3"/>
      <c r="CV471" s="3"/>
      <c r="CW471" s="3"/>
      <c r="CX471" s="4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</row>
    <row r="472" spans="13:115" ht="12.75"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48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4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48"/>
      <c r="CB472" s="48"/>
      <c r="CC472" s="48"/>
      <c r="CD472" s="3"/>
      <c r="CE472" s="3"/>
      <c r="CF472" s="3"/>
      <c r="CG472" s="3"/>
      <c r="CH472" s="3"/>
      <c r="CI472" s="3"/>
      <c r="CJ472" s="3"/>
      <c r="CK472" s="48"/>
      <c r="CL472" s="48"/>
      <c r="CM472" s="48"/>
      <c r="CN472" s="48"/>
      <c r="CO472" s="3"/>
      <c r="CP472" s="3"/>
      <c r="CQ472" s="3"/>
      <c r="CR472" s="3"/>
      <c r="CS472" s="3"/>
      <c r="CT472" s="3"/>
      <c r="CU472" s="3"/>
      <c r="CV472" s="3"/>
      <c r="CW472" s="3"/>
      <c r="CX472" s="4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</row>
    <row r="473" spans="13:115" ht="12.75"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48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4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48"/>
      <c r="CB473" s="48"/>
      <c r="CC473" s="48"/>
      <c r="CD473" s="3"/>
      <c r="CE473" s="3"/>
      <c r="CF473" s="3"/>
      <c r="CG473" s="3"/>
      <c r="CH473" s="3"/>
      <c r="CI473" s="3"/>
      <c r="CJ473" s="3"/>
      <c r="CK473" s="48"/>
      <c r="CL473" s="48"/>
      <c r="CM473" s="48"/>
      <c r="CN473" s="48"/>
      <c r="CO473" s="3"/>
      <c r="CP473" s="3"/>
      <c r="CQ473" s="3"/>
      <c r="CR473" s="3"/>
      <c r="CS473" s="3"/>
      <c r="CT473" s="3"/>
      <c r="CU473" s="3"/>
      <c r="CV473" s="3"/>
      <c r="CW473" s="3"/>
      <c r="CX473" s="4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</row>
    <row r="474" spans="13:115" ht="12.75"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48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4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48"/>
      <c r="CB474" s="48"/>
      <c r="CC474" s="48"/>
      <c r="CD474" s="3"/>
      <c r="CE474" s="3"/>
      <c r="CF474" s="3"/>
      <c r="CG474" s="3"/>
      <c r="CH474" s="3"/>
      <c r="CI474" s="3"/>
      <c r="CJ474" s="3"/>
      <c r="CK474" s="48"/>
      <c r="CL474" s="48"/>
      <c r="CM474" s="48"/>
      <c r="CN474" s="48"/>
      <c r="CO474" s="3"/>
      <c r="CP474" s="3"/>
      <c r="CQ474" s="3"/>
      <c r="CR474" s="3"/>
      <c r="CS474" s="3"/>
      <c r="CT474" s="3"/>
      <c r="CU474" s="3"/>
      <c r="CV474" s="3"/>
      <c r="CW474" s="3"/>
      <c r="CX474" s="4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</row>
    <row r="475" spans="13:115" ht="12.75"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48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4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48"/>
      <c r="CB475" s="48"/>
      <c r="CC475" s="48"/>
      <c r="CD475" s="3"/>
      <c r="CE475" s="3"/>
      <c r="CF475" s="3"/>
      <c r="CG475" s="3"/>
      <c r="CH475" s="3"/>
      <c r="CI475" s="3"/>
      <c r="CJ475" s="3"/>
      <c r="CK475" s="48"/>
      <c r="CL475" s="48"/>
      <c r="CM475" s="48"/>
      <c r="CN475" s="48"/>
      <c r="CO475" s="3"/>
      <c r="CP475" s="3"/>
      <c r="CQ475" s="3"/>
      <c r="CR475" s="3"/>
      <c r="CS475" s="3"/>
      <c r="CT475" s="3"/>
      <c r="CU475" s="3"/>
      <c r="CV475" s="3"/>
      <c r="CW475" s="3"/>
      <c r="CX475" s="4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</row>
    <row r="476" spans="13:115" ht="12.75"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48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4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48"/>
      <c r="CB476" s="48"/>
      <c r="CC476" s="48"/>
      <c r="CD476" s="3"/>
      <c r="CE476" s="3"/>
      <c r="CF476" s="3"/>
      <c r="CG476" s="3"/>
      <c r="CH476" s="3"/>
      <c r="CI476" s="3"/>
      <c r="CJ476" s="3"/>
      <c r="CK476" s="48"/>
      <c r="CL476" s="48"/>
      <c r="CM476" s="48"/>
      <c r="CN476" s="48"/>
      <c r="CO476" s="3"/>
      <c r="CP476" s="3"/>
      <c r="CQ476" s="3"/>
      <c r="CR476" s="3"/>
      <c r="CS476" s="3"/>
      <c r="CT476" s="3"/>
      <c r="CU476" s="3"/>
      <c r="CV476" s="3"/>
      <c r="CW476" s="3"/>
      <c r="CX476" s="4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</row>
    <row r="477" spans="13:115" ht="12.75"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48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4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48"/>
      <c r="CB477" s="48"/>
      <c r="CC477" s="48"/>
      <c r="CD477" s="3"/>
      <c r="CE477" s="3"/>
      <c r="CF477" s="3"/>
      <c r="CG477" s="3"/>
      <c r="CH477" s="3"/>
      <c r="CI477" s="3"/>
      <c r="CJ477" s="3"/>
      <c r="CK477" s="48"/>
      <c r="CL477" s="48"/>
      <c r="CM477" s="48"/>
      <c r="CN477" s="48"/>
      <c r="CO477" s="3"/>
      <c r="CP477" s="3"/>
      <c r="CQ477" s="3"/>
      <c r="CR477" s="3"/>
      <c r="CS477" s="3"/>
      <c r="CT477" s="3"/>
      <c r="CU477" s="3"/>
      <c r="CV477" s="3"/>
      <c r="CW477" s="3"/>
      <c r="CX477" s="4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</row>
    <row r="478" spans="13:115" ht="12.75"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48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4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48"/>
      <c r="CB478" s="48"/>
      <c r="CC478" s="48"/>
      <c r="CD478" s="3"/>
      <c r="CE478" s="3"/>
      <c r="CF478" s="3"/>
      <c r="CG478" s="3"/>
      <c r="CH478" s="3"/>
      <c r="CI478" s="3"/>
      <c r="CJ478" s="3"/>
      <c r="CK478" s="48"/>
      <c r="CL478" s="48"/>
      <c r="CM478" s="48"/>
      <c r="CN478" s="48"/>
      <c r="CO478" s="3"/>
      <c r="CP478" s="3"/>
      <c r="CQ478" s="3"/>
      <c r="CR478" s="3"/>
      <c r="CS478" s="3"/>
      <c r="CT478" s="3"/>
      <c r="CU478" s="3"/>
      <c r="CV478" s="3"/>
      <c r="CW478" s="3"/>
      <c r="CX478" s="4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</row>
    <row r="479" spans="13:115" ht="12.75"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48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4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48"/>
      <c r="CB479" s="48"/>
      <c r="CC479" s="48"/>
      <c r="CD479" s="3"/>
      <c r="CE479" s="3"/>
      <c r="CF479" s="3"/>
      <c r="CG479" s="3"/>
      <c r="CH479" s="3"/>
      <c r="CI479" s="3"/>
      <c r="CJ479" s="3"/>
      <c r="CK479" s="48"/>
      <c r="CL479" s="48"/>
      <c r="CM479" s="48"/>
      <c r="CN479" s="48"/>
      <c r="CO479" s="3"/>
      <c r="CP479" s="3"/>
      <c r="CQ479" s="3"/>
      <c r="CR479" s="3"/>
      <c r="CS479" s="3"/>
      <c r="CT479" s="3"/>
      <c r="CU479" s="3"/>
      <c r="CV479" s="3"/>
      <c r="CW479" s="3"/>
      <c r="CX479" s="4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</row>
    <row r="480" spans="13:115" ht="12.75"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48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4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48"/>
      <c r="CB480" s="48"/>
      <c r="CC480" s="48"/>
      <c r="CD480" s="3"/>
      <c r="CE480" s="3"/>
      <c r="CF480" s="3"/>
      <c r="CG480" s="3"/>
      <c r="CH480" s="3"/>
      <c r="CI480" s="3"/>
      <c r="CJ480" s="3"/>
      <c r="CK480" s="48"/>
      <c r="CL480" s="48"/>
      <c r="CM480" s="48"/>
      <c r="CN480" s="48"/>
      <c r="CO480" s="3"/>
      <c r="CP480" s="3"/>
      <c r="CQ480" s="3"/>
      <c r="CR480" s="3"/>
      <c r="CS480" s="3"/>
      <c r="CT480" s="3"/>
      <c r="CU480" s="3"/>
      <c r="CV480" s="3"/>
      <c r="CW480" s="3"/>
      <c r="CX480" s="4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</row>
    <row r="481" spans="13:115" ht="12.75"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48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4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48"/>
      <c r="CB481" s="48"/>
      <c r="CC481" s="48"/>
      <c r="CD481" s="3"/>
      <c r="CE481" s="3"/>
      <c r="CF481" s="3"/>
      <c r="CG481" s="3"/>
      <c r="CH481" s="3"/>
      <c r="CI481" s="3"/>
      <c r="CJ481" s="3"/>
      <c r="CK481" s="48"/>
      <c r="CL481" s="48"/>
      <c r="CM481" s="48"/>
      <c r="CN481" s="48"/>
      <c r="CO481" s="3"/>
      <c r="CP481" s="3"/>
      <c r="CQ481" s="3"/>
      <c r="CR481" s="3"/>
      <c r="CS481" s="3"/>
      <c r="CT481" s="3"/>
      <c r="CU481" s="3"/>
      <c r="CV481" s="3"/>
      <c r="CW481" s="3"/>
      <c r="CX481" s="4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</row>
    <row r="482" spans="13:115" ht="12.75"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48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4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48"/>
      <c r="CB482" s="48"/>
      <c r="CC482" s="48"/>
      <c r="CD482" s="3"/>
      <c r="CE482" s="3"/>
      <c r="CF482" s="3"/>
      <c r="CG482" s="3"/>
      <c r="CH482" s="3"/>
      <c r="CI482" s="3"/>
      <c r="CJ482" s="3"/>
      <c r="CK482" s="48"/>
      <c r="CL482" s="48"/>
      <c r="CM482" s="48"/>
      <c r="CN482" s="48"/>
      <c r="CO482" s="3"/>
      <c r="CP482" s="3"/>
      <c r="CQ482" s="3"/>
      <c r="CR482" s="3"/>
      <c r="CS482" s="3"/>
      <c r="CT482" s="3"/>
      <c r="CU482" s="3"/>
      <c r="CV482" s="3"/>
      <c r="CW482" s="3"/>
      <c r="CX482" s="4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</row>
    <row r="483" spans="13:115" ht="12.75"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48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4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48"/>
      <c r="CB483" s="48"/>
      <c r="CC483" s="48"/>
      <c r="CD483" s="3"/>
      <c r="CE483" s="3"/>
      <c r="CF483" s="3"/>
      <c r="CG483" s="3"/>
      <c r="CH483" s="3"/>
      <c r="CI483" s="3"/>
      <c r="CJ483" s="3"/>
      <c r="CK483" s="48"/>
      <c r="CL483" s="48"/>
      <c r="CM483" s="48"/>
      <c r="CN483" s="48"/>
      <c r="CO483" s="3"/>
      <c r="CP483" s="3"/>
      <c r="CQ483" s="3"/>
      <c r="CR483" s="3"/>
      <c r="CS483" s="3"/>
      <c r="CT483" s="3"/>
      <c r="CU483" s="3"/>
      <c r="CV483" s="3"/>
      <c r="CW483" s="3"/>
      <c r="CX483" s="4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</row>
    <row r="484" spans="13:115" ht="12.75"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48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4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48"/>
      <c r="CB484" s="48"/>
      <c r="CC484" s="48"/>
      <c r="CD484" s="3"/>
      <c r="CE484" s="3"/>
      <c r="CF484" s="3"/>
      <c r="CG484" s="3"/>
      <c r="CH484" s="3"/>
      <c r="CI484" s="3"/>
      <c r="CJ484" s="3"/>
      <c r="CK484" s="48"/>
      <c r="CL484" s="48"/>
      <c r="CM484" s="48"/>
      <c r="CN484" s="48"/>
      <c r="CO484" s="3"/>
      <c r="CP484" s="3"/>
      <c r="CQ484" s="3"/>
      <c r="CR484" s="3"/>
      <c r="CS484" s="3"/>
      <c r="CT484" s="3"/>
      <c r="CU484" s="3"/>
      <c r="CV484" s="3"/>
      <c r="CW484" s="3"/>
      <c r="CX484" s="4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</row>
    <row r="485" spans="13:115" ht="12.75"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48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4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48"/>
      <c r="CB485" s="48"/>
      <c r="CC485" s="48"/>
      <c r="CD485" s="3"/>
      <c r="CE485" s="3"/>
      <c r="CF485" s="3"/>
      <c r="CG485" s="3"/>
      <c r="CH485" s="3"/>
      <c r="CI485" s="3"/>
      <c r="CJ485" s="3"/>
      <c r="CK485" s="48"/>
      <c r="CL485" s="48"/>
      <c r="CM485" s="48"/>
      <c r="CN485" s="48"/>
      <c r="CO485" s="3"/>
      <c r="CP485" s="3"/>
      <c r="CQ485" s="3"/>
      <c r="CR485" s="3"/>
      <c r="CS485" s="3"/>
      <c r="CT485" s="3"/>
      <c r="CU485" s="3"/>
      <c r="CV485" s="3"/>
      <c r="CW485" s="3"/>
      <c r="CX485" s="4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</row>
    <row r="486" spans="13:115" ht="12.75"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48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4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48"/>
      <c r="CB486" s="48"/>
      <c r="CC486" s="48"/>
      <c r="CD486" s="3"/>
      <c r="CE486" s="3"/>
      <c r="CF486" s="3"/>
      <c r="CG486" s="3"/>
      <c r="CH486" s="3"/>
      <c r="CI486" s="3"/>
      <c r="CJ486" s="3"/>
      <c r="CK486" s="48"/>
      <c r="CL486" s="48"/>
      <c r="CM486" s="48"/>
      <c r="CN486" s="48"/>
      <c r="CO486" s="3"/>
      <c r="CP486" s="3"/>
      <c r="CQ486" s="3"/>
      <c r="CR486" s="3"/>
      <c r="CS486" s="3"/>
      <c r="CT486" s="3"/>
      <c r="CU486" s="3"/>
      <c r="CV486" s="3"/>
      <c r="CW486" s="3"/>
      <c r="CX486" s="4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</row>
    <row r="487" spans="13:115" ht="12.75"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48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4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48"/>
      <c r="CB487" s="48"/>
      <c r="CC487" s="48"/>
      <c r="CD487" s="3"/>
      <c r="CE487" s="3"/>
      <c r="CF487" s="3"/>
      <c r="CG487" s="3"/>
      <c r="CH487" s="3"/>
      <c r="CI487" s="3"/>
      <c r="CJ487" s="3"/>
      <c r="CK487" s="48"/>
      <c r="CL487" s="48"/>
      <c r="CM487" s="48"/>
      <c r="CN487" s="48"/>
      <c r="CO487" s="3"/>
      <c r="CP487" s="3"/>
      <c r="CQ487" s="3"/>
      <c r="CR487" s="3"/>
      <c r="CS487" s="3"/>
      <c r="CT487" s="3"/>
      <c r="CU487" s="3"/>
      <c r="CV487" s="3"/>
      <c r="CW487" s="3"/>
      <c r="CX487" s="4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</row>
    <row r="488" spans="13:115" ht="12.75"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48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4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48"/>
      <c r="CB488" s="48"/>
      <c r="CC488" s="48"/>
      <c r="CD488" s="3"/>
      <c r="CE488" s="3"/>
      <c r="CF488" s="3"/>
      <c r="CG488" s="3"/>
      <c r="CH488" s="3"/>
      <c r="CI488" s="3"/>
      <c r="CJ488" s="3"/>
      <c r="CK488" s="48"/>
      <c r="CL488" s="48"/>
      <c r="CM488" s="48"/>
      <c r="CN488" s="48"/>
      <c r="CO488" s="3"/>
      <c r="CP488" s="3"/>
      <c r="CQ488" s="3"/>
      <c r="CR488" s="3"/>
      <c r="CS488" s="3"/>
      <c r="CT488" s="3"/>
      <c r="CU488" s="3"/>
      <c r="CV488" s="3"/>
      <c r="CW488" s="3"/>
      <c r="CX488" s="4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</row>
    <row r="489" spans="13:115" ht="12.75"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48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4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48"/>
      <c r="CB489" s="48"/>
      <c r="CC489" s="48"/>
      <c r="CD489" s="3"/>
      <c r="CE489" s="3"/>
      <c r="CF489" s="3"/>
      <c r="CG489" s="3"/>
      <c r="CH489" s="3"/>
      <c r="CI489" s="3"/>
      <c r="CJ489" s="3"/>
      <c r="CK489" s="48"/>
      <c r="CL489" s="48"/>
      <c r="CM489" s="48"/>
      <c r="CN489" s="48"/>
      <c r="CO489" s="3"/>
      <c r="CP489" s="3"/>
      <c r="CQ489" s="3"/>
      <c r="CR489" s="3"/>
      <c r="CS489" s="3"/>
      <c r="CT489" s="3"/>
      <c r="CU489" s="3"/>
      <c r="CV489" s="3"/>
      <c r="CW489" s="3"/>
      <c r="CX489" s="4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</row>
    <row r="490" spans="13:115" ht="12.75"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48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4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48"/>
      <c r="CB490" s="48"/>
      <c r="CC490" s="48"/>
      <c r="CD490" s="3"/>
      <c r="CE490" s="3"/>
      <c r="CF490" s="3"/>
      <c r="CG490" s="3"/>
      <c r="CH490" s="3"/>
      <c r="CI490" s="3"/>
      <c r="CJ490" s="3"/>
      <c r="CK490" s="48"/>
      <c r="CL490" s="48"/>
      <c r="CM490" s="48"/>
      <c r="CN490" s="48"/>
      <c r="CO490" s="3"/>
      <c r="CP490" s="3"/>
      <c r="CQ490" s="3"/>
      <c r="CR490" s="3"/>
      <c r="CS490" s="3"/>
      <c r="CT490" s="3"/>
      <c r="CU490" s="3"/>
      <c r="CV490" s="3"/>
      <c r="CW490" s="3"/>
      <c r="CX490" s="4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</row>
    <row r="491" spans="13:115" ht="12.75"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48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4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48"/>
      <c r="CB491" s="48"/>
      <c r="CC491" s="48"/>
      <c r="CD491" s="3"/>
      <c r="CE491" s="3"/>
      <c r="CF491" s="3"/>
      <c r="CG491" s="3"/>
      <c r="CH491" s="3"/>
      <c r="CI491" s="3"/>
      <c r="CJ491" s="3"/>
      <c r="CK491" s="48"/>
      <c r="CL491" s="48"/>
      <c r="CM491" s="48"/>
      <c r="CN491" s="48"/>
      <c r="CO491" s="3"/>
      <c r="CP491" s="3"/>
      <c r="CQ491" s="3"/>
      <c r="CR491" s="3"/>
      <c r="CS491" s="3"/>
      <c r="CT491" s="3"/>
      <c r="CU491" s="3"/>
      <c r="CV491" s="3"/>
      <c r="CW491" s="3"/>
      <c r="CX491" s="4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</row>
    <row r="492" spans="13:115" ht="12.75"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48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4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48"/>
      <c r="CB492" s="48"/>
      <c r="CC492" s="48"/>
      <c r="CD492" s="3"/>
      <c r="CE492" s="3"/>
      <c r="CF492" s="3"/>
      <c r="CG492" s="3"/>
      <c r="CH492" s="3"/>
      <c r="CI492" s="3"/>
      <c r="CJ492" s="3"/>
      <c r="CK492" s="48"/>
      <c r="CL492" s="48"/>
      <c r="CM492" s="48"/>
      <c r="CN492" s="48"/>
      <c r="CO492" s="3"/>
      <c r="CP492" s="3"/>
      <c r="CQ492" s="3"/>
      <c r="CR492" s="3"/>
      <c r="CS492" s="3"/>
      <c r="CT492" s="3"/>
      <c r="CU492" s="3"/>
      <c r="CV492" s="3"/>
      <c r="CW492" s="3"/>
      <c r="CX492" s="4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</row>
    <row r="493" spans="13:115" ht="12.75"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48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4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48"/>
      <c r="CB493" s="48"/>
      <c r="CC493" s="48"/>
      <c r="CD493" s="3"/>
      <c r="CE493" s="3"/>
      <c r="CF493" s="3"/>
      <c r="CG493" s="3"/>
      <c r="CH493" s="3"/>
      <c r="CI493" s="3"/>
      <c r="CJ493" s="3"/>
      <c r="CK493" s="48"/>
      <c r="CL493" s="48"/>
      <c r="CM493" s="48"/>
      <c r="CN493" s="48"/>
      <c r="CO493" s="3"/>
      <c r="CP493" s="3"/>
      <c r="CQ493" s="3"/>
      <c r="CR493" s="3"/>
      <c r="CS493" s="3"/>
      <c r="CT493" s="3"/>
      <c r="CU493" s="3"/>
      <c r="CV493" s="3"/>
      <c r="CW493" s="3"/>
      <c r="CX493" s="4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</row>
    <row r="494" spans="13:115" ht="12.75"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48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4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48"/>
      <c r="CB494" s="48"/>
      <c r="CC494" s="48"/>
      <c r="CD494" s="3"/>
      <c r="CE494" s="3"/>
      <c r="CF494" s="3"/>
      <c r="CG494" s="3"/>
      <c r="CH494" s="3"/>
      <c r="CI494" s="3"/>
      <c r="CJ494" s="3"/>
      <c r="CK494" s="48"/>
      <c r="CL494" s="48"/>
      <c r="CM494" s="48"/>
      <c r="CN494" s="48"/>
      <c r="CO494" s="3"/>
      <c r="CP494" s="3"/>
      <c r="CQ494" s="3"/>
      <c r="CR494" s="3"/>
      <c r="CS494" s="3"/>
      <c r="CT494" s="3"/>
      <c r="CU494" s="3"/>
      <c r="CV494" s="3"/>
      <c r="CW494" s="3"/>
      <c r="CX494" s="4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</row>
    <row r="495" spans="13:115" ht="12.75"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48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4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48"/>
      <c r="CB495" s="48"/>
      <c r="CC495" s="48"/>
      <c r="CD495" s="3"/>
      <c r="CE495" s="3"/>
      <c r="CF495" s="3"/>
      <c r="CG495" s="3"/>
      <c r="CH495" s="3"/>
      <c r="CI495" s="3"/>
      <c r="CJ495" s="3"/>
      <c r="CK495" s="48"/>
      <c r="CL495" s="48"/>
      <c r="CM495" s="48"/>
      <c r="CN495" s="48"/>
      <c r="CO495" s="3"/>
      <c r="CP495" s="3"/>
      <c r="CQ495" s="3"/>
      <c r="CR495" s="3"/>
      <c r="CS495" s="3"/>
      <c r="CT495" s="3"/>
      <c r="CU495" s="3"/>
      <c r="CV495" s="3"/>
      <c r="CW495" s="3"/>
      <c r="CX495" s="4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</row>
    <row r="496" spans="13:115" ht="12.75"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48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4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48"/>
      <c r="CB496" s="48"/>
      <c r="CC496" s="48"/>
      <c r="CD496" s="3"/>
      <c r="CE496" s="3"/>
      <c r="CF496" s="3"/>
      <c r="CG496" s="3"/>
      <c r="CH496" s="3"/>
      <c r="CI496" s="3"/>
      <c r="CJ496" s="3"/>
      <c r="CK496" s="48"/>
      <c r="CL496" s="48"/>
      <c r="CM496" s="48"/>
      <c r="CN496" s="48"/>
      <c r="CO496" s="3"/>
      <c r="CP496" s="3"/>
      <c r="CQ496" s="3"/>
      <c r="CR496" s="3"/>
      <c r="CS496" s="3"/>
      <c r="CT496" s="3"/>
      <c r="CU496" s="3"/>
      <c r="CV496" s="3"/>
      <c r="CW496" s="3"/>
      <c r="CX496" s="4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</row>
    <row r="497" spans="13:115" ht="12.75"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48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4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48"/>
      <c r="CB497" s="48"/>
      <c r="CC497" s="48"/>
      <c r="CD497" s="3"/>
      <c r="CE497" s="3"/>
      <c r="CF497" s="3"/>
      <c r="CG497" s="3"/>
      <c r="CH497" s="3"/>
      <c r="CI497" s="3"/>
      <c r="CJ497" s="3"/>
      <c r="CK497" s="48"/>
      <c r="CL497" s="48"/>
      <c r="CM497" s="48"/>
      <c r="CN497" s="48"/>
      <c r="CO497" s="3"/>
      <c r="CP497" s="3"/>
      <c r="CQ497" s="3"/>
      <c r="CR497" s="3"/>
      <c r="CS497" s="3"/>
      <c r="CT497" s="3"/>
      <c r="CU497" s="3"/>
      <c r="CV497" s="3"/>
      <c r="CW497" s="3"/>
      <c r="CX497" s="4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</row>
    <row r="498" spans="13:115" ht="12.75"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48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4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48"/>
      <c r="CB498" s="48"/>
      <c r="CC498" s="48"/>
      <c r="CD498" s="3"/>
      <c r="CE498" s="3"/>
      <c r="CF498" s="3"/>
      <c r="CG498" s="3"/>
      <c r="CH498" s="3"/>
      <c r="CI498" s="3"/>
      <c r="CJ498" s="3"/>
      <c r="CK498" s="48"/>
      <c r="CL498" s="48"/>
      <c r="CM498" s="48"/>
      <c r="CN498" s="48"/>
      <c r="CO498" s="3"/>
      <c r="CP498" s="3"/>
      <c r="CQ498" s="3"/>
      <c r="CR498" s="3"/>
      <c r="CS498" s="3"/>
      <c r="CT498" s="3"/>
      <c r="CU498" s="3"/>
      <c r="CV498" s="3"/>
      <c r="CW498" s="3"/>
      <c r="CX498" s="4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</row>
    <row r="499" spans="13:115" ht="12.75"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48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4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48"/>
      <c r="CB499" s="48"/>
      <c r="CC499" s="48"/>
      <c r="CD499" s="3"/>
      <c r="CE499" s="3"/>
      <c r="CF499" s="3"/>
      <c r="CG499" s="3"/>
      <c r="CH499" s="3"/>
      <c r="CI499" s="3"/>
      <c r="CJ499" s="3"/>
      <c r="CK499" s="48"/>
      <c r="CL499" s="48"/>
      <c r="CM499" s="48"/>
      <c r="CN499" s="48"/>
      <c r="CO499" s="3"/>
      <c r="CP499" s="3"/>
      <c r="CQ499" s="3"/>
      <c r="CR499" s="3"/>
      <c r="CS499" s="3"/>
      <c r="CT499" s="3"/>
      <c r="CU499" s="3"/>
      <c r="CV499" s="3"/>
      <c r="CW499" s="3"/>
      <c r="CX499" s="4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</row>
    <row r="500" spans="13:115" ht="12.75"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48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4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48"/>
      <c r="CB500" s="48"/>
      <c r="CC500" s="48"/>
      <c r="CD500" s="3"/>
      <c r="CE500" s="3"/>
      <c r="CF500" s="3"/>
      <c r="CG500" s="3"/>
      <c r="CH500" s="3"/>
      <c r="CI500" s="3"/>
      <c r="CJ500" s="3"/>
      <c r="CK500" s="48"/>
      <c r="CL500" s="48"/>
      <c r="CM500" s="48"/>
      <c r="CN500" s="48"/>
      <c r="CO500" s="3"/>
      <c r="CP500" s="3"/>
      <c r="CQ500" s="3"/>
      <c r="CR500" s="3"/>
      <c r="CS500" s="3"/>
      <c r="CT500" s="3"/>
      <c r="CU500" s="3"/>
      <c r="CV500" s="3"/>
      <c r="CW500" s="3"/>
      <c r="CX500" s="4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</row>
    <row r="501" spans="13:115" ht="12.75"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48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4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48"/>
      <c r="CB501" s="48"/>
      <c r="CC501" s="48"/>
      <c r="CD501" s="3"/>
      <c r="CE501" s="3"/>
      <c r="CF501" s="3"/>
      <c r="CG501" s="3"/>
      <c r="CH501" s="3"/>
      <c r="CI501" s="3"/>
      <c r="CJ501" s="3"/>
      <c r="CK501" s="48"/>
      <c r="CL501" s="48"/>
      <c r="CM501" s="48"/>
      <c r="CN501" s="48"/>
      <c r="CO501" s="3"/>
      <c r="CP501" s="3"/>
      <c r="CQ501" s="3"/>
      <c r="CR501" s="3"/>
      <c r="CS501" s="3"/>
      <c r="CT501" s="3"/>
      <c r="CU501" s="3"/>
      <c r="CV501" s="3"/>
      <c r="CW501" s="3"/>
      <c r="CX501" s="4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</row>
    <row r="502" spans="13:115" ht="12.75"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48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4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48"/>
      <c r="CB502" s="48"/>
      <c r="CC502" s="48"/>
      <c r="CD502" s="3"/>
      <c r="CE502" s="3"/>
      <c r="CF502" s="3"/>
      <c r="CG502" s="3"/>
      <c r="CH502" s="3"/>
      <c r="CI502" s="3"/>
      <c r="CJ502" s="3"/>
      <c r="CK502" s="48"/>
      <c r="CL502" s="48"/>
      <c r="CM502" s="48"/>
      <c r="CN502" s="48"/>
      <c r="CO502" s="3"/>
      <c r="CP502" s="3"/>
      <c r="CQ502" s="3"/>
      <c r="CR502" s="3"/>
      <c r="CS502" s="3"/>
      <c r="CT502" s="3"/>
      <c r="CU502" s="3"/>
      <c r="CV502" s="3"/>
      <c r="CW502" s="3"/>
      <c r="CX502" s="4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</row>
    <row r="503" spans="13:115" ht="12.75"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48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4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48"/>
      <c r="CB503" s="48"/>
      <c r="CC503" s="48"/>
      <c r="CD503" s="3"/>
      <c r="CE503" s="3"/>
      <c r="CF503" s="3"/>
      <c r="CG503" s="3"/>
      <c r="CH503" s="3"/>
      <c r="CI503" s="3"/>
      <c r="CJ503" s="3"/>
      <c r="CK503" s="48"/>
      <c r="CL503" s="48"/>
      <c r="CM503" s="48"/>
      <c r="CN503" s="48"/>
      <c r="CO503" s="3"/>
      <c r="CP503" s="3"/>
      <c r="CQ503" s="3"/>
      <c r="CR503" s="3"/>
      <c r="CS503" s="3"/>
      <c r="CT503" s="3"/>
      <c r="CU503" s="3"/>
      <c r="CV503" s="3"/>
      <c r="CW503" s="3"/>
      <c r="CX503" s="4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</row>
    <row r="504" spans="13:115" ht="12.75"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48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4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48"/>
      <c r="CB504" s="48"/>
      <c r="CC504" s="48"/>
      <c r="CD504" s="3"/>
      <c r="CE504" s="3"/>
      <c r="CF504" s="3"/>
      <c r="CG504" s="3"/>
      <c r="CH504" s="3"/>
      <c r="CI504" s="3"/>
      <c r="CJ504" s="3"/>
      <c r="CK504" s="48"/>
      <c r="CL504" s="48"/>
      <c r="CM504" s="48"/>
      <c r="CN504" s="48"/>
      <c r="CO504" s="3"/>
      <c r="CP504" s="3"/>
      <c r="CQ504" s="3"/>
      <c r="CR504" s="3"/>
      <c r="CS504" s="3"/>
      <c r="CT504" s="3"/>
      <c r="CU504" s="3"/>
      <c r="CV504" s="3"/>
      <c r="CW504" s="3"/>
      <c r="CX504" s="4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</row>
    <row r="505" spans="13:115" ht="12.75"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48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4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48"/>
      <c r="CB505" s="48"/>
      <c r="CC505" s="48"/>
      <c r="CD505" s="3"/>
      <c r="CE505" s="3"/>
      <c r="CF505" s="3"/>
      <c r="CG505" s="3"/>
      <c r="CH505" s="3"/>
      <c r="CI505" s="3"/>
      <c r="CJ505" s="3"/>
      <c r="CK505" s="48"/>
      <c r="CL505" s="48"/>
      <c r="CM505" s="48"/>
      <c r="CN505" s="48"/>
      <c r="CO505" s="3"/>
      <c r="CP505" s="3"/>
      <c r="CQ505" s="3"/>
      <c r="CR505" s="3"/>
      <c r="CS505" s="3"/>
      <c r="CT505" s="3"/>
      <c r="CU505" s="3"/>
      <c r="CV505" s="3"/>
      <c r="CW505" s="3"/>
      <c r="CX505" s="4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</row>
    <row r="506" spans="13:115" ht="12.75"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48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4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48"/>
      <c r="CB506" s="48"/>
      <c r="CC506" s="48"/>
      <c r="CD506" s="3"/>
      <c r="CE506" s="3"/>
      <c r="CF506" s="3"/>
      <c r="CG506" s="3"/>
      <c r="CH506" s="3"/>
      <c r="CI506" s="3"/>
      <c r="CJ506" s="3"/>
      <c r="CK506" s="48"/>
      <c r="CL506" s="48"/>
      <c r="CM506" s="48"/>
      <c r="CN506" s="48"/>
      <c r="CO506" s="3"/>
      <c r="CP506" s="3"/>
      <c r="CQ506" s="3"/>
      <c r="CR506" s="3"/>
      <c r="CS506" s="3"/>
      <c r="CT506" s="3"/>
      <c r="CU506" s="3"/>
      <c r="CV506" s="3"/>
      <c r="CW506" s="3"/>
      <c r="CX506" s="4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</row>
    <row r="507" spans="13:115" ht="12.75"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48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4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48"/>
      <c r="CB507" s="48"/>
      <c r="CC507" s="48"/>
      <c r="CD507" s="3"/>
      <c r="CE507" s="3"/>
      <c r="CF507" s="3"/>
      <c r="CG507" s="3"/>
      <c r="CH507" s="3"/>
      <c r="CI507" s="3"/>
      <c r="CJ507" s="3"/>
      <c r="CK507" s="48"/>
      <c r="CL507" s="48"/>
      <c r="CM507" s="48"/>
      <c r="CN507" s="48"/>
      <c r="CO507" s="3"/>
      <c r="CP507" s="3"/>
      <c r="CQ507" s="3"/>
      <c r="CR507" s="3"/>
      <c r="CS507" s="3"/>
      <c r="CT507" s="3"/>
      <c r="CU507" s="3"/>
      <c r="CV507" s="3"/>
      <c r="CW507" s="3"/>
      <c r="CX507" s="4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</row>
    <row r="508" spans="13:115" ht="12.75"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48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4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48"/>
      <c r="CB508" s="48"/>
      <c r="CC508" s="48"/>
      <c r="CD508" s="3"/>
      <c r="CE508" s="3"/>
      <c r="CF508" s="3"/>
      <c r="CG508" s="3"/>
      <c r="CH508" s="3"/>
      <c r="CI508" s="3"/>
      <c r="CJ508" s="3"/>
      <c r="CK508" s="48"/>
      <c r="CL508" s="48"/>
      <c r="CM508" s="48"/>
      <c r="CN508" s="48"/>
      <c r="CO508" s="3"/>
      <c r="CP508" s="3"/>
      <c r="CQ508" s="3"/>
      <c r="CR508" s="3"/>
      <c r="CS508" s="3"/>
      <c r="CT508" s="3"/>
      <c r="CU508" s="3"/>
      <c r="CV508" s="3"/>
      <c r="CW508" s="3"/>
      <c r="CX508" s="4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</row>
    <row r="509" spans="13:115" ht="12.75"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48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4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48"/>
      <c r="CB509" s="48"/>
      <c r="CC509" s="48"/>
      <c r="CD509" s="3"/>
      <c r="CE509" s="3"/>
      <c r="CF509" s="3"/>
      <c r="CG509" s="3"/>
      <c r="CH509" s="3"/>
      <c r="CI509" s="3"/>
      <c r="CJ509" s="3"/>
      <c r="CK509" s="48"/>
      <c r="CL509" s="48"/>
      <c r="CM509" s="48"/>
      <c r="CN509" s="48"/>
      <c r="CO509" s="3"/>
      <c r="CP509" s="3"/>
      <c r="CQ509" s="3"/>
      <c r="CR509" s="3"/>
      <c r="CS509" s="3"/>
      <c r="CT509" s="3"/>
      <c r="CU509" s="3"/>
      <c r="CV509" s="3"/>
      <c r="CW509" s="3"/>
      <c r="CX509" s="4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</row>
    <row r="510" spans="13:115" ht="12.75"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48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4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48"/>
      <c r="CB510" s="48"/>
      <c r="CC510" s="48"/>
      <c r="CD510" s="3"/>
      <c r="CE510" s="3"/>
      <c r="CF510" s="3"/>
      <c r="CG510" s="3"/>
      <c r="CH510" s="3"/>
      <c r="CI510" s="3"/>
      <c r="CJ510" s="3"/>
      <c r="CK510" s="48"/>
      <c r="CL510" s="48"/>
      <c r="CM510" s="48"/>
      <c r="CN510" s="48"/>
      <c r="CO510" s="3"/>
      <c r="CP510" s="3"/>
      <c r="CQ510" s="3"/>
      <c r="CR510" s="3"/>
      <c r="CS510" s="3"/>
      <c r="CT510" s="3"/>
      <c r="CU510" s="3"/>
      <c r="CV510" s="3"/>
      <c r="CW510" s="3"/>
      <c r="CX510" s="4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</row>
    <row r="511" spans="13:115" ht="12.75"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48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4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48"/>
      <c r="CB511" s="48"/>
      <c r="CC511" s="48"/>
      <c r="CD511" s="3"/>
      <c r="CE511" s="3"/>
      <c r="CF511" s="3"/>
      <c r="CG511" s="3"/>
      <c r="CH511" s="3"/>
      <c r="CI511" s="3"/>
      <c r="CJ511" s="3"/>
      <c r="CK511" s="48"/>
      <c r="CL511" s="48"/>
      <c r="CM511" s="48"/>
      <c r="CN511" s="48"/>
      <c r="CO511" s="3"/>
      <c r="CP511" s="3"/>
      <c r="CQ511" s="3"/>
      <c r="CR511" s="3"/>
      <c r="CS511" s="3"/>
      <c r="CT511" s="3"/>
      <c r="CU511" s="3"/>
      <c r="CV511" s="3"/>
      <c r="CW511" s="3"/>
      <c r="CX511" s="4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</row>
    <row r="512" spans="13:115" ht="12.75"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48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4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48"/>
      <c r="CB512" s="48"/>
      <c r="CC512" s="48"/>
      <c r="CD512" s="3"/>
      <c r="CE512" s="3"/>
      <c r="CF512" s="3"/>
      <c r="CG512" s="3"/>
      <c r="CH512" s="3"/>
      <c r="CI512" s="3"/>
      <c r="CJ512" s="3"/>
      <c r="CK512" s="48"/>
      <c r="CL512" s="48"/>
      <c r="CM512" s="48"/>
      <c r="CN512" s="48"/>
      <c r="CO512" s="3"/>
      <c r="CP512" s="3"/>
      <c r="CQ512" s="3"/>
      <c r="CR512" s="3"/>
      <c r="CS512" s="3"/>
      <c r="CT512" s="3"/>
      <c r="CU512" s="3"/>
      <c r="CV512" s="3"/>
      <c r="CW512" s="3"/>
      <c r="CX512" s="4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</row>
    <row r="513" spans="13:115" ht="12.75"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48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4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48"/>
      <c r="CB513" s="48"/>
      <c r="CC513" s="48"/>
      <c r="CD513" s="3"/>
      <c r="CE513" s="3"/>
      <c r="CF513" s="3"/>
      <c r="CG513" s="3"/>
      <c r="CH513" s="3"/>
      <c r="CI513" s="3"/>
      <c r="CJ513" s="3"/>
      <c r="CK513" s="48"/>
      <c r="CL513" s="48"/>
      <c r="CM513" s="48"/>
      <c r="CN513" s="48"/>
      <c r="CO513" s="3"/>
      <c r="CP513" s="3"/>
      <c r="CQ513" s="3"/>
      <c r="CR513" s="3"/>
      <c r="CS513" s="3"/>
      <c r="CT513" s="3"/>
      <c r="CU513" s="3"/>
      <c r="CV513" s="3"/>
      <c r="CW513" s="3"/>
      <c r="CX513" s="4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</row>
    <row r="514" spans="13:115" ht="12.75"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48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4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48"/>
      <c r="CB514" s="48"/>
      <c r="CC514" s="48"/>
      <c r="CD514" s="3"/>
      <c r="CE514" s="3"/>
      <c r="CF514" s="3"/>
      <c r="CG514" s="3"/>
      <c r="CH514" s="3"/>
      <c r="CI514" s="3"/>
      <c r="CJ514" s="3"/>
      <c r="CK514" s="48"/>
      <c r="CL514" s="48"/>
      <c r="CM514" s="48"/>
      <c r="CN514" s="48"/>
      <c r="CO514" s="3"/>
      <c r="CP514" s="3"/>
      <c r="CQ514" s="3"/>
      <c r="CR514" s="3"/>
      <c r="CS514" s="3"/>
      <c r="CT514" s="3"/>
      <c r="CU514" s="3"/>
      <c r="CV514" s="3"/>
      <c r="CW514" s="3"/>
      <c r="CX514" s="4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</row>
    <row r="515" spans="13:115" ht="12.75"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48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4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48"/>
      <c r="CB515" s="48"/>
      <c r="CC515" s="48"/>
      <c r="CD515" s="3"/>
      <c r="CE515" s="3"/>
      <c r="CF515" s="3"/>
      <c r="CG515" s="3"/>
      <c r="CH515" s="3"/>
      <c r="CI515" s="3"/>
      <c r="CJ515" s="3"/>
      <c r="CK515" s="48"/>
      <c r="CL515" s="48"/>
      <c r="CM515" s="48"/>
      <c r="CN515" s="48"/>
      <c r="CO515" s="3"/>
      <c r="CP515" s="3"/>
      <c r="CQ515" s="3"/>
      <c r="CR515" s="3"/>
      <c r="CS515" s="3"/>
      <c r="CT515" s="3"/>
      <c r="CU515" s="3"/>
      <c r="CV515" s="3"/>
      <c r="CW515" s="3"/>
      <c r="CX515" s="4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</row>
    <row r="516" spans="13:115" ht="12.75"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48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4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48"/>
      <c r="CB516" s="48"/>
      <c r="CC516" s="48"/>
      <c r="CD516" s="3"/>
      <c r="CE516" s="3"/>
      <c r="CF516" s="3"/>
      <c r="CG516" s="3"/>
      <c r="CH516" s="3"/>
      <c r="CI516" s="3"/>
      <c r="CJ516" s="3"/>
      <c r="CK516" s="48"/>
      <c r="CL516" s="48"/>
      <c r="CM516" s="48"/>
      <c r="CN516" s="48"/>
      <c r="CO516" s="3"/>
      <c r="CP516" s="3"/>
      <c r="CQ516" s="3"/>
      <c r="CR516" s="3"/>
      <c r="CS516" s="3"/>
      <c r="CT516" s="3"/>
      <c r="CU516" s="3"/>
      <c r="CV516" s="3"/>
      <c r="CW516" s="3"/>
      <c r="CX516" s="4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</row>
    <row r="517" spans="13:115" ht="12.75"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48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4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48"/>
      <c r="CB517" s="48"/>
      <c r="CC517" s="48"/>
      <c r="CD517" s="3"/>
      <c r="CE517" s="3"/>
      <c r="CF517" s="3"/>
      <c r="CG517" s="3"/>
      <c r="CH517" s="3"/>
      <c r="CI517" s="3"/>
      <c r="CJ517" s="3"/>
      <c r="CK517" s="48"/>
      <c r="CL517" s="48"/>
      <c r="CM517" s="48"/>
      <c r="CN517" s="48"/>
      <c r="CO517" s="3"/>
      <c r="CP517" s="3"/>
      <c r="CQ517" s="3"/>
      <c r="CR517" s="3"/>
      <c r="CS517" s="3"/>
      <c r="CT517" s="3"/>
      <c r="CU517" s="3"/>
      <c r="CV517" s="3"/>
      <c r="CW517" s="3"/>
      <c r="CX517" s="4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</row>
    <row r="518" spans="13:115" ht="12.75"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48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4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48"/>
      <c r="CB518" s="48"/>
      <c r="CC518" s="48"/>
      <c r="CD518" s="3"/>
      <c r="CE518" s="3"/>
      <c r="CF518" s="3"/>
      <c r="CG518" s="3"/>
      <c r="CH518" s="3"/>
      <c r="CI518" s="3"/>
      <c r="CJ518" s="3"/>
      <c r="CK518" s="48"/>
      <c r="CL518" s="48"/>
      <c r="CM518" s="48"/>
      <c r="CN518" s="48"/>
      <c r="CO518" s="3"/>
      <c r="CP518" s="3"/>
      <c r="CQ518" s="3"/>
      <c r="CR518" s="3"/>
      <c r="CS518" s="3"/>
      <c r="CT518" s="3"/>
      <c r="CU518" s="3"/>
      <c r="CV518" s="3"/>
      <c r="CW518" s="3"/>
      <c r="CX518" s="4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</row>
    <row r="519" spans="13:115" ht="12.75"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48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4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48"/>
      <c r="CB519" s="48"/>
      <c r="CC519" s="48"/>
      <c r="CD519" s="3"/>
      <c r="CE519" s="3"/>
      <c r="CF519" s="3"/>
      <c r="CG519" s="3"/>
      <c r="CH519" s="3"/>
      <c r="CI519" s="3"/>
      <c r="CJ519" s="3"/>
      <c r="CK519" s="48"/>
      <c r="CL519" s="48"/>
      <c r="CM519" s="48"/>
      <c r="CN519" s="48"/>
      <c r="CO519" s="3"/>
      <c r="CP519" s="3"/>
      <c r="CQ519" s="3"/>
      <c r="CR519" s="3"/>
      <c r="CS519" s="3"/>
      <c r="CT519" s="3"/>
      <c r="CU519" s="3"/>
      <c r="CV519" s="3"/>
      <c r="CW519" s="3"/>
      <c r="CX519" s="4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</row>
    <row r="520" spans="13:115" ht="12.75"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48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4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48"/>
      <c r="CB520" s="48"/>
      <c r="CC520" s="48"/>
      <c r="CD520" s="3"/>
      <c r="CE520" s="3"/>
      <c r="CF520" s="3"/>
      <c r="CG520" s="3"/>
      <c r="CH520" s="3"/>
      <c r="CI520" s="3"/>
      <c r="CJ520" s="3"/>
      <c r="CK520" s="48"/>
      <c r="CL520" s="48"/>
      <c r="CM520" s="48"/>
      <c r="CN520" s="48"/>
      <c r="CO520" s="3"/>
      <c r="CP520" s="3"/>
      <c r="CQ520" s="3"/>
      <c r="CR520" s="3"/>
      <c r="CS520" s="3"/>
      <c r="CT520" s="3"/>
      <c r="CU520" s="3"/>
      <c r="CV520" s="3"/>
      <c r="CW520" s="3"/>
      <c r="CX520" s="4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</row>
    <row r="521" spans="13:115" ht="12.75"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48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4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48"/>
      <c r="CB521" s="48"/>
      <c r="CC521" s="48"/>
      <c r="CD521" s="3"/>
      <c r="CE521" s="3"/>
      <c r="CF521" s="3"/>
      <c r="CG521" s="3"/>
      <c r="CH521" s="3"/>
      <c r="CI521" s="3"/>
      <c r="CJ521" s="3"/>
      <c r="CK521" s="48"/>
      <c r="CL521" s="48"/>
      <c r="CM521" s="48"/>
      <c r="CN521" s="48"/>
      <c r="CO521" s="3"/>
      <c r="CP521" s="3"/>
      <c r="CQ521" s="3"/>
      <c r="CR521" s="3"/>
      <c r="CS521" s="3"/>
      <c r="CT521" s="3"/>
      <c r="CU521" s="3"/>
      <c r="CV521" s="3"/>
      <c r="CW521" s="3"/>
      <c r="CX521" s="4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</row>
    <row r="522" spans="13:115" ht="12.75"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48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4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48"/>
      <c r="CB522" s="48"/>
      <c r="CC522" s="48"/>
      <c r="CD522" s="3"/>
      <c r="CE522" s="3"/>
      <c r="CF522" s="3"/>
      <c r="CG522" s="3"/>
      <c r="CH522" s="3"/>
      <c r="CI522" s="3"/>
      <c r="CJ522" s="3"/>
      <c r="CK522" s="48"/>
      <c r="CL522" s="48"/>
      <c r="CM522" s="48"/>
      <c r="CN522" s="48"/>
      <c r="CO522" s="3"/>
      <c r="CP522" s="3"/>
      <c r="CQ522" s="3"/>
      <c r="CR522" s="3"/>
      <c r="CS522" s="3"/>
      <c r="CT522" s="3"/>
      <c r="CU522" s="3"/>
      <c r="CV522" s="3"/>
      <c r="CW522" s="3"/>
      <c r="CX522" s="4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</row>
    <row r="523" spans="13:115" ht="12.75"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48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4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48"/>
      <c r="CB523" s="48"/>
      <c r="CC523" s="48"/>
      <c r="CD523" s="3"/>
      <c r="CE523" s="3"/>
      <c r="CF523" s="3"/>
      <c r="CG523" s="3"/>
      <c r="CH523" s="3"/>
      <c r="CI523" s="3"/>
      <c r="CJ523" s="3"/>
      <c r="CK523" s="48"/>
      <c r="CL523" s="48"/>
      <c r="CM523" s="48"/>
      <c r="CN523" s="48"/>
      <c r="CO523" s="3"/>
      <c r="CP523" s="3"/>
      <c r="CQ523" s="3"/>
      <c r="CR523" s="3"/>
      <c r="CS523" s="3"/>
      <c r="CT523" s="3"/>
      <c r="CU523" s="3"/>
      <c r="CV523" s="3"/>
      <c r="CW523" s="3"/>
      <c r="CX523" s="4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</row>
    <row r="524" spans="13:115" ht="12.75"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48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4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48"/>
      <c r="CB524" s="48"/>
      <c r="CC524" s="48"/>
      <c r="CD524" s="3"/>
      <c r="CE524" s="3"/>
      <c r="CF524" s="3"/>
      <c r="CG524" s="3"/>
      <c r="CH524" s="3"/>
      <c r="CI524" s="3"/>
      <c r="CJ524" s="3"/>
      <c r="CK524" s="48"/>
      <c r="CL524" s="48"/>
      <c r="CM524" s="48"/>
      <c r="CN524" s="48"/>
      <c r="CO524" s="3"/>
      <c r="CP524" s="3"/>
      <c r="CQ524" s="3"/>
      <c r="CR524" s="3"/>
      <c r="CS524" s="3"/>
      <c r="CT524" s="3"/>
      <c r="CU524" s="3"/>
      <c r="CV524" s="3"/>
      <c r="CW524" s="3"/>
      <c r="CX524" s="4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</row>
    <row r="525" spans="13:115" ht="12.75"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48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4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48"/>
      <c r="CB525" s="48"/>
      <c r="CC525" s="48"/>
      <c r="CD525" s="3"/>
      <c r="CE525" s="3"/>
      <c r="CF525" s="3"/>
      <c r="CG525" s="3"/>
      <c r="CH525" s="3"/>
      <c r="CI525" s="3"/>
      <c r="CJ525" s="3"/>
      <c r="CK525" s="48"/>
      <c r="CL525" s="48"/>
      <c r="CM525" s="48"/>
      <c r="CN525" s="48"/>
      <c r="CO525" s="3"/>
      <c r="CP525" s="3"/>
      <c r="CQ525" s="3"/>
      <c r="CR525" s="3"/>
      <c r="CS525" s="3"/>
      <c r="CT525" s="3"/>
      <c r="CU525" s="3"/>
      <c r="CV525" s="3"/>
      <c r="CW525" s="3"/>
      <c r="CX525" s="4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</row>
    <row r="526" spans="13:115" ht="12.75"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48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4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48"/>
      <c r="CB526" s="48"/>
      <c r="CC526" s="48"/>
      <c r="CD526" s="3"/>
      <c r="CE526" s="3"/>
      <c r="CF526" s="3"/>
      <c r="CG526" s="3"/>
      <c r="CH526" s="3"/>
      <c r="CI526" s="3"/>
      <c r="CJ526" s="3"/>
      <c r="CK526" s="48"/>
      <c r="CL526" s="48"/>
      <c r="CM526" s="48"/>
      <c r="CN526" s="48"/>
      <c r="CO526" s="3"/>
      <c r="CP526" s="3"/>
      <c r="CQ526" s="3"/>
      <c r="CR526" s="3"/>
      <c r="CS526" s="3"/>
      <c r="CT526" s="3"/>
      <c r="CU526" s="3"/>
      <c r="CV526" s="3"/>
      <c r="CW526" s="3"/>
      <c r="CX526" s="4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</row>
    <row r="527" spans="13:115" ht="12.75"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48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4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48"/>
      <c r="CB527" s="48"/>
      <c r="CC527" s="48"/>
      <c r="CD527" s="3"/>
      <c r="CE527" s="3"/>
      <c r="CF527" s="3"/>
      <c r="CG527" s="3"/>
      <c r="CH527" s="3"/>
      <c r="CI527" s="3"/>
      <c r="CJ527" s="3"/>
      <c r="CK527" s="48"/>
      <c r="CL527" s="48"/>
      <c r="CM527" s="48"/>
      <c r="CN527" s="48"/>
      <c r="CO527" s="3"/>
      <c r="CP527" s="3"/>
      <c r="CQ527" s="3"/>
      <c r="CR527" s="3"/>
      <c r="CS527" s="3"/>
      <c r="CT527" s="3"/>
      <c r="CU527" s="3"/>
      <c r="CV527" s="3"/>
      <c r="CW527" s="3"/>
      <c r="CX527" s="4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</row>
    <row r="528" spans="13:115" ht="12.75"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48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4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48"/>
      <c r="CB528" s="48"/>
      <c r="CC528" s="48"/>
      <c r="CD528" s="3"/>
      <c r="CE528" s="3"/>
      <c r="CF528" s="3"/>
      <c r="CG528" s="3"/>
      <c r="CH528" s="3"/>
      <c r="CI528" s="3"/>
      <c r="CJ528" s="3"/>
      <c r="CK528" s="48"/>
      <c r="CL528" s="48"/>
      <c r="CM528" s="48"/>
      <c r="CN528" s="48"/>
      <c r="CO528" s="3"/>
      <c r="CP528" s="3"/>
      <c r="CQ528" s="3"/>
      <c r="CR528" s="3"/>
      <c r="CS528" s="3"/>
      <c r="CT528" s="3"/>
      <c r="CU528" s="3"/>
      <c r="CV528" s="3"/>
      <c r="CW528" s="3"/>
      <c r="CX528" s="4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</row>
    <row r="529" spans="13:115" ht="12.75"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48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4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48"/>
      <c r="CB529" s="48"/>
      <c r="CC529" s="48"/>
      <c r="CD529" s="3"/>
      <c r="CE529" s="3"/>
      <c r="CF529" s="3"/>
      <c r="CG529" s="3"/>
      <c r="CH529" s="3"/>
      <c r="CI529" s="3"/>
      <c r="CJ529" s="3"/>
      <c r="CK529" s="48"/>
      <c r="CL529" s="48"/>
      <c r="CM529" s="48"/>
      <c r="CN529" s="48"/>
      <c r="CO529" s="3"/>
      <c r="CP529" s="3"/>
      <c r="CQ529" s="3"/>
      <c r="CR529" s="3"/>
      <c r="CS529" s="3"/>
      <c r="CT529" s="3"/>
      <c r="CU529" s="3"/>
      <c r="CV529" s="3"/>
      <c r="CW529" s="3"/>
      <c r="CX529" s="4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</row>
    <row r="530" spans="13:115" ht="12.75"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48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4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48"/>
      <c r="CB530" s="48"/>
      <c r="CC530" s="48"/>
      <c r="CD530" s="3"/>
      <c r="CE530" s="3"/>
      <c r="CF530" s="3"/>
      <c r="CG530" s="3"/>
      <c r="CH530" s="3"/>
      <c r="CI530" s="3"/>
      <c r="CJ530" s="3"/>
      <c r="CK530" s="48"/>
      <c r="CL530" s="48"/>
      <c r="CM530" s="48"/>
      <c r="CN530" s="48"/>
      <c r="CO530" s="3"/>
      <c r="CP530" s="3"/>
      <c r="CQ530" s="3"/>
      <c r="CR530" s="3"/>
      <c r="CS530" s="3"/>
      <c r="CT530" s="3"/>
      <c r="CU530" s="3"/>
      <c r="CV530" s="3"/>
      <c r="CW530" s="3"/>
      <c r="CX530" s="4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</row>
    <row r="531" spans="13:115" ht="12.75"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48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4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48"/>
      <c r="CB531" s="48"/>
      <c r="CC531" s="48"/>
      <c r="CD531" s="3"/>
      <c r="CE531" s="3"/>
      <c r="CF531" s="3"/>
      <c r="CG531" s="3"/>
      <c r="CH531" s="3"/>
      <c r="CI531" s="3"/>
      <c r="CJ531" s="3"/>
      <c r="CK531" s="48"/>
      <c r="CL531" s="48"/>
      <c r="CM531" s="48"/>
      <c r="CN531" s="48"/>
      <c r="CO531" s="3"/>
      <c r="CP531" s="3"/>
      <c r="CQ531" s="3"/>
      <c r="CR531" s="3"/>
      <c r="CS531" s="3"/>
      <c r="CT531" s="3"/>
      <c r="CU531" s="3"/>
      <c r="CV531" s="3"/>
      <c r="CW531" s="3"/>
      <c r="CX531" s="4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</row>
    <row r="532" spans="13:115" ht="12.75"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48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4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48"/>
      <c r="CB532" s="48"/>
      <c r="CC532" s="48"/>
      <c r="CD532" s="3"/>
      <c r="CE532" s="3"/>
      <c r="CF532" s="3"/>
      <c r="CG532" s="3"/>
      <c r="CH532" s="3"/>
      <c r="CI532" s="3"/>
      <c r="CJ532" s="3"/>
      <c r="CK532" s="48"/>
      <c r="CL532" s="48"/>
      <c r="CM532" s="48"/>
      <c r="CN532" s="48"/>
      <c r="CO532" s="3"/>
      <c r="CP532" s="3"/>
      <c r="CQ532" s="3"/>
      <c r="CR532" s="3"/>
      <c r="CS532" s="3"/>
      <c r="CT532" s="3"/>
      <c r="CU532" s="3"/>
      <c r="CV532" s="3"/>
      <c r="CW532" s="3"/>
      <c r="CX532" s="4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</row>
    <row r="533" spans="13:115" ht="12.75"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48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4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48"/>
      <c r="CB533" s="48"/>
      <c r="CC533" s="48"/>
      <c r="CD533" s="3"/>
      <c r="CE533" s="3"/>
      <c r="CF533" s="3"/>
      <c r="CG533" s="3"/>
      <c r="CH533" s="3"/>
      <c r="CI533" s="3"/>
      <c r="CJ533" s="3"/>
      <c r="CK533" s="48"/>
      <c r="CL533" s="48"/>
      <c r="CM533" s="48"/>
      <c r="CN533" s="48"/>
      <c r="CO533" s="3"/>
      <c r="CP533" s="3"/>
      <c r="CQ533" s="3"/>
      <c r="CR533" s="3"/>
      <c r="CS533" s="3"/>
      <c r="CT533" s="3"/>
      <c r="CU533" s="3"/>
      <c r="CV533" s="3"/>
      <c r="CW533" s="3"/>
      <c r="CX533" s="4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</row>
    <row r="534" spans="13:115" ht="12.75"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48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4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48"/>
      <c r="CB534" s="48"/>
      <c r="CC534" s="48"/>
      <c r="CD534" s="3"/>
      <c r="CE534" s="3"/>
      <c r="CF534" s="3"/>
      <c r="CG534" s="3"/>
      <c r="CH534" s="3"/>
      <c r="CI534" s="3"/>
      <c r="CJ534" s="3"/>
      <c r="CK534" s="48"/>
      <c r="CL534" s="48"/>
      <c r="CM534" s="48"/>
      <c r="CN534" s="48"/>
      <c r="CO534" s="3"/>
      <c r="CP534" s="3"/>
      <c r="CQ534" s="3"/>
      <c r="CR534" s="3"/>
      <c r="CS534" s="3"/>
      <c r="CT534" s="3"/>
      <c r="CU534" s="3"/>
      <c r="CV534" s="3"/>
      <c r="CW534" s="3"/>
      <c r="CX534" s="4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</row>
    <row r="535" spans="13:115" ht="12.75"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48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4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48"/>
      <c r="CB535" s="48"/>
      <c r="CC535" s="48"/>
      <c r="CD535" s="3"/>
      <c r="CE535" s="3"/>
      <c r="CF535" s="3"/>
      <c r="CG535" s="3"/>
      <c r="CH535" s="3"/>
      <c r="CI535" s="3"/>
      <c r="CJ535" s="3"/>
      <c r="CK535" s="48"/>
      <c r="CL535" s="48"/>
      <c r="CM535" s="48"/>
      <c r="CN535" s="48"/>
      <c r="CO535" s="3"/>
      <c r="CP535" s="3"/>
      <c r="CQ535" s="3"/>
      <c r="CR535" s="3"/>
      <c r="CS535" s="3"/>
      <c r="CT535" s="3"/>
      <c r="CU535" s="3"/>
      <c r="CV535" s="3"/>
      <c r="CW535" s="3"/>
      <c r="CX535" s="4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</row>
    <row r="536" spans="13:115" ht="12.75"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48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4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48"/>
      <c r="CB536" s="48"/>
      <c r="CC536" s="48"/>
      <c r="CD536" s="3"/>
      <c r="CE536" s="3"/>
      <c r="CF536" s="3"/>
      <c r="CG536" s="3"/>
      <c r="CH536" s="3"/>
      <c r="CI536" s="3"/>
      <c r="CJ536" s="3"/>
      <c r="CK536" s="48"/>
      <c r="CL536" s="48"/>
      <c r="CM536" s="48"/>
      <c r="CN536" s="48"/>
      <c r="CO536" s="3"/>
      <c r="CP536" s="3"/>
      <c r="CQ536" s="3"/>
      <c r="CR536" s="3"/>
      <c r="CS536" s="3"/>
      <c r="CT536" s="3"/>
      <c r="CU536" s="3"/>
      <c r="CV536" s="3"/>
      <c r="CW536" s="3"/>
      <c r="CX536" s="4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</row>
  </sheetData>
  <mergeCells count="4">
    <mergeCell ref="A1:I1"/>
    <mergeCell ref="O1:AF1"/>
    <mergeCell ref="BM1:CD1"/>
    <mergeCell ref="CY1:DP1"/>
  </mergeCells>
  <phoneticPr fontId="46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2014-2017学年各项收入明细</vt:lpstr>
      <vt:lpstr>课外课收入明细 (2)</vt:lpstr>
      <vt:lpstr>保险收入明细</vt:lpstr>
      <vt:lpstr>2012-2014学年各项收入明细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PKU</dc:creator>
  <cp:lastModifiedBy>周海娜</cp:lastModifiedBy>
  <cp:lastPrinted>2014-04-02T01:47:18Z</cp:lastPrinted>
  <dcterms:created xsi:type="dcterms:W3CDTF">2012-05-17T10:46:13Z</dcterms:created>
  <dcterms:modified xsi:type="dcterms:W3CDTF">2014-06-19T06:11:07Z</dcterms:modified>
</cp:coreProperties>
</file>